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M:\REGNRAPP\R2023\Q2 2023\Revisor\"/>
    </mc:Choice>
  </mc:AlternateContent>
  <xr:revisionPtr revIDLastSave="0" documentId="8_{1A5F4B1C-8CD1-4E79-811F-8E129600DA3B}" xr6:coauthVersionLast="47" xr6:coauthVersionMax="47" xr10:uidLastSave="{00000000-0000-0000-0000-000000000000}"/>
  <bookViews>
    <workbookView xWindow="28680" yWindow="-120" windowWidth="29040" windowHeight="17640" activeTab="1" xr2:uid="{00000000-000D-0000-FFFF-FFFF00000000}"/>
  </bookViews>
  <sheets>
    <sheet name="APM definisjoner" sheetId="1" r:id="rId1"/>
    <sheet name="APM utregning" sheetId="2" r:id="rId2"/>
  </sheets>
  <definedNames>
    <definedName name="_AMO_UniqueIdentifier" hidden="1">"'ea146410-0ba0-4315-a76f-efd61b1e6fa7'"</definedName>
    <definedName name="_xlnm.Print_Area" localSheetId="0">'APM definisjoner'!$A$1:$B$26</definedName>
    <definedName name="_xlnm.Print_Area" localSheetId="1">'APM utregning'!$A$1:$P$136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8" i="2" l="1"/>
  <c r="B81" i="2" l="1"/>
  <c r="B23" i="2"/>
  <c r="B20" i="2"/>
  <c r="B10" i="2" l="1"/>
  <c r="B6" i="2"/>
  <c r="B14" i="2" s="1"/>
  <c r="B133" i="2"/>
  <c r="B131" i="2"/>
  <c r="B122" i="2"/>
  <c r="B123" i="2" s="1"/>
  <c r="B124" i="2" s="1"/>
  <c r="B110" i="2"/>
  <c r="B111" i="2" s="1"/>
  <c r="B112" i="2" s="1"/>
  <c r="B98" i="2"/>
  <c r="B91" i="2"/>
  <c r="B93" i="2" s="1"/>
  <c r="B87" i="2"/>
  <c r="B88" i="2" s="1"/>
  <c r="B75" i="2"/>
  <c r="B73" i="2"/>
  <c r="B59" i="2"/>
  <c r="B55" i="2"/>
  <c r="B42" i="2"/>
  <c r="B43" i="2" s="1"/>
  <c r="B45" i="2" s="1"/>
  <c r="B38" i="2"/>
  <c r="B30" i="2"/>
  <c r="B32" i="2" s="1"/>
  <c r="B33" i="2" s="1"/>
  <c r="B25" i="2"/>
  <c r="C81" i="2"/>
  <c r="C23" i="2"/>
  <c r="C20" i="2"/>
  <c r="C133" i="2"/>
  <c r="C131" i="2"/>
  <c r="C122" i="2"/>
  <c r="C123" i="2" s="1"/>
  <c r="C124" i="2" s="1"/>
  <c r="C110" i="2"/>
  <c r="C111" i="2" s="1"/>
  <c r="C112" i="2" s="1"/>
  <c r="C98" i="2"/>
  <c r="C91" i="2"/>
  <c r="C93" i="2" s="1"/>
  <c r="C87" i="2"/>
  <c r="C88" i="2" s="1"/>
  <c r="C75" i="2"/>
  <c r="C73" i="2"/>
  <c r="C59" i="2"/>
  <c r="C62" i="2" s="1"/>
  <c r="C65" i="2" s="1"/>
  <c r="C55" i="2"/>
  <c r="C42" i="2"/>
  <c r="C43" i="2" s="1"/>
  <c r="C45" i="2" s="1"/>
  <c r="C38" i="2"/>
  <c r="C30" i="2"/>
  <c r="C32" i="2" s="1"/>
  <c r="C10" i="2"/>
  <c r="C6" i="2"/>
  <c r="C14" i="2" s="1"/>
  <c r="B134" i="2" l="1"/>
  <c r="B135" i="2" s="1"/>
  <c r="B62" i="2"/>
  <c r="B65" i="2" s="1"/>
  <c r="B99" i="2" s="1"/>
  <c r="B100" i="2" s="1"/>
  <c r="C134" i="2"/>
  <c r="C135" i="2" s="1"/>
  <c r="C25" i="2"/>
  <c r="C33" i="2"/>
  <c r="C99" i="2"/>
  <c r="C100" i="2" s="1"/>
  <c r="C72" i="2"/>
  <c r="B72" i="2" l="1"/>
  <c r="C74" i="2"/>
  <c r="C76" i="2" s="1"/>
  <c r="E98" i="2"/>
  <c r="F98" i="2"/>
  <c r="G98" i="2"/>
  <c r="H98" i="2"/>
  <c r="I98" i="2"/>
  <c r="J98" i="2"/>
  <c r="K98" i="2"/>
  <c r="K100" i="2" s="1"/>
  <c r="L98" i="2"/>
  <c r="M98" i="2"/>
  <c r="N98" i="2"/>
  <c r="O98" i="2"/>
  <c r="P98" i="2"/>
  <c r="D98" i="2"/>
  <c r="K88" i="2"/>
  <c r="D87" i="2"/>
  <c r="D88" i="2" s="1"/>
  <c r="E87" i="2"/>
  <c r="E88" i="2" s="1"/>
  <c r="F87" i="2"/>
  <c r="F88" i="2" s="1"/>
  <c r="G87" i="2"/>
  <c r="G88" i="2" s="1"/>
  <c r="H87" i="2"/>
  <c r="H88" i="2" s="1"/>
  <c r="L87" i="2"/>
  <c r="L88" i="2" s="1"/>
  <c r="M87" i="2"/>
  <c r="M88" i="2" s="1"/>
  <c r="N87" i="2"/>
  <c r="N88" i="2" s="1"/>
  <c r="O87" i="2"/>
  <c r="O88" i="2" s="1"/>
  <c r="P87" i="2"/>
  <c r="P88" i="2" s="1"/>
  <c r="D30" i="2"/>
  <c r="D81" i="2"/>
  <c r="D23" i="2"/>
  <c r="D20" i="2"/>
  <c r="B74" i="2" l="1"/>
  <c r="B76" i="2" s="1"/>
  <c r="D133" i="2"/>
  <c r="D131" i="2"/>
  <c r="D122" i="2"/>
  <c r="D123" i="2" s="1"/>
  <c r="D124" i="2" s="1"/>
  <c r="D110" i="2"/>
  <c r="D111" i="2" s="1"/>
  <c r="D112" i="2" s="1"/>
  <c r="D91" i="2"/>
  <c r="D93" i="2" s="1"/>
  <c r="D73" i="2"/>
  <c r="D59" i="2"/>
  <c r="B82" i="2" s="1"/>
  <c r="B83" i="2" s="1"/>
  <c r="D55" i="2"/>
  <c r="D42" i="2"/>
  <c r="D43" i="2" s="1"/>
  <c r="D45" i="2" s="1"/>
  <c r="D38" i="2"/>
  <c r="D32" i="2"/>
  <c r="D25" i="2"/>
  <c r="D10" i="2"/>
  <c r="D6" i="2"/>
  <c r="D14" i="2" s="1"/>
  <c r="E81" i="2"/>
  <c r="E23" i="2"/>
  <c r="E20" i="2"/>
  <c r="C56" i="2" l="1"/>
  <c r="B56" i="2"/>
  <c r="C12" i="2"/>
  <c r="C15" i="2" s="1"/>
  <c r="C16" i="2" s="1"/>
  <c r="B12" i="2"/>
  <c r="B15" i="2" s="1"/>
  <c r="B16" i="2" s="1"/>
  <c r="D62" i="2"/>
  <c r="D65" i="2" s="1"/>
  <c r="D99" i="2" s="1"/>
  <c r="D100" i="2" s="1"/>
  <c r="C82" i="2"/>
  <c r="C83" i="2" s="1"/>
  <c r="D134" i="2"/>
  <c r="D135" i="2" s="1"/>
  <c r="D33" i="2"/>
  <c r="D75" i="2"/>
  <c r="E133" i="2"/>
  <c r="E131" i="2"/>
  <c r="E122" i="2"/>
  <c r="E123" i="2" s="1"/>
  <c r="E124" i="2" s="1"/>
  <c r="E110" i="2"/>
  <c r="E111" i="2" s="1"/>
  <c r="E112" i="2" s="1"/>
  <c r="E91" i="2"/>
  <c r="E93" i="2" s="1"/>
  <c r="E73" i="2"/>
  <c r="E66" i="2"/>
  <c r="E68" i="2" s="1"/>
  <c r="E59" i="2"/>
  <c r="E55" i="2"/>
  <c r="E49" i="2"/>
  <c r="E48" i="2"/>
  <c r="E42" i="2"/>
  <c r="E43" i="2" s="1"/>
  <c r="E45" i="2" s="1"/>
  <c r="E38" i="2"/>
  <c r="E32" i="2"/>
  <c r="E25" i="2"/>
  <c r="E10" i="2"/>
  <c r="E6" i="2"/>
  <c r="E14" i="2" s="1"/>
  <c r="D72" i="2" l="1"/>
  <c r="E50" i="2"/>
  <c r="E52" i="2" s="1"/>
  <c r="E134" i="2"/>
  <c r="E135" i="2" s="1"/>
  <c r="E33" i="2"/>
  <c r="E62" i="2"/>
  <c r="E65" i="2" s="1"/>
  <c r="E99" i="2" s="1"/>
  <c r="E100" i="2" s="1"/>
  <c r="E75" i="2"/>
  <c r="F130" i="2"/>
  <c r="F110" i="2"/>
  <c r="G91" i="2"/>
  <c r="G93" i="2" s="1"/>
  <c r="G81" i="2"/>
  <c r="F81" i="2"/>
  <c r="C94" i="2" l="1"/>
  <c r="C95" i="2" s="1"/>
  <c r="B94" i="2"/>
  <c r="B95" i="2" s="1"/>
  <c r="D74" i="2"/>
  <c r="D76" i="2" s="1"/>
  <c r="E67" i="2"/>
  <c r="E69" i="2" s="1"/>
  <c r="E72" i="2"/>
  <c r="G20" i="2"/>
  <c r="E74" i="2" l="1"/>
  <c r="E76" i="2" s="1"/>
  <c r="F20" i="2"/>
  <c r="F23" i="2"/>
  <c r="F133" i="2" l="1"/>
  <c r="F131" i="2"/>
  <c r="F122" i="2"/>
  <c r="F111" i="2"/>
  <c r="F112" i="2" s="1"/>
  <c r="F91" i="2"/>
  <c r="F93" i="2" s="1"/>
  <c r="F73" i="2"/>
  <c r="F66" i="2"/>
  <c r="F68" i="2" s="1"/>
  <c r="F59" i="2"/>
  <c r="F55" i="2"/>
  <c r="F49" i="2"/>
  <c r="F48" i="2"/>
  <c r="F42" i="2"/>
  <c r="F43" i="2" s="1"/>
  <c r="F45" i="2" s="1"/>
  <c r="F38" i="2"/>
  <c r="F30" i="2"/>
  <c r="F32" i="2" s="1"/>
  <c r="F10" i="2"/>
  <c r="F6" i="2"/>
  <c r="F14" i="2" s="1"/>
  <c r="G133" i="2"/>
  <c r="F75" i="2" l="1"/>
  <c r="B49" i="2"/>
  <c r="B50" i="2" s="1"/>
  <c r="B52" i="2" s="1"/>
  <c r="F50" i="2"/>
  <c r="F52" i="2" s="1"/>
  <c r="F62" i="2"/>
  <c r="F65" i="2" s="1"/>
  <c r="F134" i="2"/>
  <c r="F135" i="2" s="1"/>
  <c r="F123" i="2"/>
  <c r="F124" i="2" s="1"/>
  <c r="F25" i="2"/>
  <c r="F33" i="2"/>
  <c r="G120" i="2"/>
  <c r="G108" i="2"/>
  <c r="F99" i="2" l="1"/>
  <c r="F100" i="2" s="1"/>
  <c r="B66" i="2"/>
  <c r="F72" i="2"/>
  <c r="F67" i="2"/>
  <c r="F69" i="2" s="1"/>
  <c r="G122" i="2"/>
  <c r="B68" i="2" l="1"/>
  <c r="B67" i="2"/>
  <c r="B69" i="2" s="1"/>
  <c r="F74" i="2"/>
  <c r="F76" i="2" s="1"/>
  <c r="G110" i="2"/>
  <c r="H106" i="2" l="1"/>
  <c r="G131" i="2" l="1"/>
  <c r="G134" i="2" s="1"/>
  <c r="G135" i="2" s="1"/>
  <c r="H131" i="2"/>
  <c r="G123" i="2"/>
  <c r="G124" i="2" s="1"/>
  <c r="G111" i="2"/>
  <c r="G112" i="2" s="1"/>
  <c r="H118" i="2"/>
  <c r="G73" i="2"/>
  <c r="G66" i="2"/>
  <c r="G68" i="2" s="1"/>
  <c r="G59" i="2"/>
  <c r="H59" i="2"/>
  <c r="H62" i="2" s="1"/>
  <c r="H65" i="2" s="1"/>
  <c r="K56" i="2"/>
  <c r="G55" i="2"/>
  <c r="G49" i="2"/>
  <c r="G48" i="2"/>
  <c r="G42" i="2"/>
  <c r="G43" i="2" s="1"/>
  <c r="G45" i="2" s="1"/>
  <c r="G38" i="2"/>
  <c r="H38" i="2"/>
  <c r="G30" i="2"/>
  <c r="G32" i="2" s="1"/>
  <c r="G33" i="2" s="1"/>
  <c r="H30" i="2"/>
  <c r="G23" i="2"/>
  <c r="G25" i="2" s="1"/>
  <c r="H23" i="2"/>
  <c r="G10" i="2"/>
  <c r="G6" i="2"/>
  <c r="G14" i="2" s="1"/>
  <c r="G75" i="2" l="1"/>
  <c r="C49" i="2"/>
  <c r="C50" i="2" s="1"/>
  <c r="C52" i="2" s="1"/>
  <c r="D82" i="2"/>
  <c r="D83" i="2" s="1"/>
  <c r="D66" i="2"/>
  <c r="D67" i="2" s="1"/>
  <c r="H99" i="2"/>
  <c r="H100" i="2" s="1"/>
  <c r="G62" i="2"/>
  <c r="G65" i="2" s="1"/>
  <c r="C66" i="2" s="1"/>
  <c r="E82" i="2"/>
  <c r="E83" i="2" s="1"/>
  <c r="G82" i="2"/>
  <c r="G83" i="2" s="1"/>
  <c r="F82" i="2"/>
  <c r="F83" i="2" s="1"/>
  <c r="G50" i="2"/>
  <c r="G52" i="2" s="1"/>
  <c r="C68" i="2" l="1"/>
  <c r="C67" i="2"/>
  <c r="D68" i="2"/>
  <c r="D69" i="2" s="1"/>
  <c r="G67" i="2"/>
  <c r="G69" i="2" s="1"/>
  <c r="G99" i="2"/>
  <c r="G100" i="2" s="1"/>
  <c r="G72" i="2"/>
  <c r="H108" i="2"/>
  <c r="H120" i="2"/>
  <c r="H122" i="2"/>
  <c r="C69" i="2" l="1"/>
  <c r="G74" i="2"/>
  <c r="G76" i="2" s="1"/>
  <c r="H127" i="2"/>
  <c r="H133" i="2" s="1"/>
  <c r="H20" i="2" l="1"/>
  <c r="H25" i="2" s="1"/>
  <c r="H110" i="2"/>
  <c r="H81" i="2"/>
  <c r="H42" i="2"/>
  <c r="H43" i="2" s="1"/>
  <c r="H45" i="2" s="1"/>
  <c r="H111" i="2" l="1"/>
  <c r="H112" i="2" s="1"/>
  <c r="J73" i="2"/>
  <c r="J74" i="2" s="1"/>
  <c r="J76" i="2" s="1"/>
  <c r="K73" i="2"/>
  <c r="K74" i="2" s="1"/>
  <c r="K76" i="2" s="1"/>
  <c r="L73" i="2"/>
  <c r="M73" i="2"/>
  <c r="N73" i="2"/>
  <c r="O73" i="2"/>
  <c r="P73" i="2"/>
  <c r="H73" i="2"/>
  <c r="H55" i="2" l="1"/>
  <c r="D56" i="2" s="1"/>
  <c r="H48" i="2"/>
  <c r="D49" i="2" s="1"/>
  <c r="D50" i="2" s="1"/>
  <c r="D52" i="2" s="1"/>
  <c r="H32" i="2"/>
  <c r="H33" i="2" s="1"/>
  <c r="H6" i="2"/>
  <c r="H14" i="2" s="1"/>
  <c r="F56" i="2" l="1"/>
  <c r="E56" i="2"/>
  <c r="H56" i="2"/>
  <c r="G56" i="2"/>
  <c r="H75" i="2"/>
  <c r="O56" i="2"/>
  <c r="N56" i="2"/>
  <c r="L56" i="2"/>
  <c r="O23" i="2"/>
  <c r="N23" i="2"/>
  <c r="M23" i="2"/>
  <c r="L23" i="2"/>
  <c r="P130" i="2"/>
  <c r="P131" i="2" s="1"/>
  <c r="M130" i="2"/>
  <c r="M131" i="2" s="1"/>
  <c r="N130" i="2"/>
  <c r="N131" i="2" s="1"/>
  <c r="O130" i="2"/>
  <c r="O131" i="2" s="1"/>
  <c r="L130" i="2" l="1"/>
  <c r="L131" i="2" s="1"/>
  <c r="K130" i="2"/>
  <c r="K131" i="2" s="1"/>
  <c r="K95" i="2" l="1"/>
  <c r="P32" i="2"/>
  <c r="O32" i="2"/>
  <c r="N32" i="2"/>
  <c r="M32" i="2"/>
  <c r="L32" i="2"/>
  <c r="K32" i="2"/>
  <c r="H134" i="2" l="1"/>
  <c r="H135" i="2" s="1"/>
  <c r="M82" i="2" l="1"/>
  <c r="L82" i="2"/>
  <c r="O20" i="2"/>
  <c r="O120" i="2" l="1"/>
  <c r="O108" i="2"/>
  <c r="K120" i="2"/>
  <c r="N120" i="2"/>
  <c r="K115" i="2"/>
  <c r="H115" i="2"/>
  <c r="K118" i="2"/>
  <c r="K122" i="2" s="1"/>
  <c r="K106" i="2"/>
  <c r="K133" i="2"/>
  <c r="H113" i="2" l="1"/>
  <c r="K113" i="2"/>
  <c r="K134" i="2"/>
  <c r="K135" i="2" s="1"/>
  <c r="K123" i="2"/>
  <c r="K124" i="2" s="1"/>
  <c r="K110" i="2"/>
  <c r="K111" i="2" s="1"/>
  <c r="K112" i="2" s="1"/>
  <c r="H114" i="2"/>
  <c r="K114" i="2"/>
  <c r="H82" i="2"/>
  <c r="H123" i="2" l="1"/>
  <c r="H124" i="2" s="1"/>
  <c r="H91" i="2"/>
  <c r="H93" i="2" s="1"/>
  <c r="H72" i="2"/>
  <c r="D94" i="2" s="1"/>
  <c r="D95" i="2" s="1"/>
  <c r="H10" i="2"/>
  <c r="D12" i="2" s="1"/>
  <c r="D15" i="2" s="1"/>
  <c r="D16" i="2" s="1"/>
  <c r="O48" i="2"/>
  <c r="F12" i="2" l="1"/>
  <c r="F15" i="2" s="1"/>
  <c r="F16" i="2" s="1"/>
  <c r="E12" i="2"/>
  <c r="E15" i="2" s="1"/>
  <c r="E16" i="2" s="1"/>
  <c r="F94" i="2"/>
  <c r="F95" i="2" s="1"/>
  <c r="E94" i="2"/>
  <c r="E95" i="2" s="1"/>
  <c r="G12" i="2"/>
  <c r="G15" i="2" s="1"/>
  <c r="G16" i="2" s="1"/>
  <c r="H74" i="2"/>
  <c r="H76" i="2" s="1"/>
  <c r="G94" i="2"/>
  <c r="G95" i="2" s="1"/>
  <c r="H83" i="2"/>
  <c r="O133" i="2"/>
  <c r="P110" i="2" l="1"/>
  <c r="P111" i="2" s="1"/>
  <c r="P112" i="2" s="1"/>
  <c r="M110" i="2"/>
  <c r="M111" i="2" s="1"/>
  <c r="M112" i="2" s="1"/>
  <c r="N110" i="2"/>
  <c r="N111" i="2" s="1"/>
  <c r="N112" i="2" s="1"/>
  <c r="L110" i="2"/>
  <c r="L111" i="2" s="1"/>
  <c r="L112" i="2" s="1"/>
  <c r="P122" i="2" l="1"/>
  <c r="P123" i="2" s="1"/>
  <c r="P124" i="2" s="1"/>
  <c r="M122" i="2"/>
  <c r="M123" i="2" s="1"/>
  <c r="M124" i="2" s="1"/>
  <c r="N122" i="2"/>
  <c r="N123" i="2" s="1"/>
  <c r="N124" i="2" s="1"/>
  <c r="O122" i="2"/>
  <c r="O123" i="2" s="1"/>
  <c r="O124" i="2" s="1"/>
  <c r="L122" i="2"/>
  <c r="L123" i="2" s="1"/>
  <c r="L124" i="2" s="1"/>
  <c r="P133" i="2"/>
  <c r="P134" i="2" s="1"/>
  <c r="P135" i="2" s="1"/>
  <c r="M133" i="2"/>
  <c r="N133" i="2"/>
  <c r="N134" i="2" s="1"/>
  <c r="N135" i="2" s="1"/>
  <c r="O134" i="2"/>
  <c r="O135" i="2" s="1"/>
  <c r="L133" i="2"/>
  <c r="L134" i="2" s="1"/>
  <c r="L135" i="2" s="1"/>
  <c r="O110" i="2" l="1"/>
  <c r="O111" i="2" s="1"/>
  <c r="O112" i="2" s="1"/>
  <c r="M134" i="2"/>
  <c r="M135" i="2" s="1"/>
  <c r="P91" i="2" l="1"/>
  <c r="P93" i="2" s="1"/>
  <c r="P95" i="2" s="1"/>
  <c r="O91" i="2"/>
  <c r="L91" i="2"/>
  <c r="P81" i="2"/>
  <c r="P83" i="2" s="1"/>
  <c r="N79" i="2"/>
  <c r="M79" i="2" s="1"/>
  <c r="M81" i="2" s="1"/>
  <c r="O82" i="2"/>
  <c r="N82" i="2"/>
  <c r="O81" i="2"/>
  <c r="L81" i="2"/>
  <c r="M91" i="2" l="1"/>
  <c r="N91" i="2"/>
  <c r="N81" i="2"/>
  <c r="N83" i="2" s="1"/>
  <c r="L83" i="2"/>
  <c r="O83" i="2"/>
  <c r="M83" i="2"/>
  <c r="P68" i="2" l="1"/>
  <c r="O68" i="2"/>
  <c r="N68" i="2"/>
  <c r="M68" i="2"/>
  <c r="P62" i="2" l="1"/>
  <c r="P65" i="2" s="1"/>
  <c r="P99" i="2" s="1"/>
  <c r="P100" i="2" s="1"/>
  <c r="O62" i="2"/>
  <c r="N62" i="2"/>
  <c r="M62" i="2"/>
  <c r="L62" i="2"/>
  <c r="M56" i="2"/>
  <c r="N65" i="2" l="1"/>
  <c r="N99" i="2" s="1"/>
  <c r="N100" i="2" s="1"/>
  <c r="L65" i="2"/>
  <c r="M65" i="2"/>
  <c r="M99" i="2" s="1"/>
  <c r="M100" i="2" s="1"/>
  <c r="O65" i="2"/>
  <c r="L66" i="2"/>
  <c r="L68" i="2" s="1"/>
  <c r="P67" i="2"/>
  <c r="P69" i="2" s="1"/>
  <c r="P72" i="2"/>
  <c r="P74" i="2" s="1"/>
  <c r="O94" i="2" l="1"/>
  <c r="O99" i="2"/>
  <c r="O100" i="2" s="1"/>
  <c r="H66" i="2"/>
  <c r="H68" i="2" s="1"/>
  <c r="L99" i="2"/>
  <c r="L100" i="2" s="1"/>
  <c r="H67" i="2"/>
  <c r="L72" i="2"/>
  <c r="L94" i="2"/>
  <c r="M72" i="2"/>
  <c r="M74" i="2" s="1"/>
  <c r="M67" i="2"/>
  <c r="M69" i="2" s="1"/>
  <c r="O72" i="2"/>
  <c r="O74" i="2" s="1"/>
  <c r="O67" i="2"/>
  <c r="O69" i="2" s="1"/>
  <c r="N72" i="2"/>
  <c r="N74" i="2" s="1"/>
  <c r="N67" i="2"/>
  <c r="N69" i="2" s="1"/>
  <c r="N48" i="2"/>
  <c r="O75" i="2"/>
  <c r="P48" i="2"/>
  <c r="P75" i="2" s="1"/>
  <c r="P76" i="2" s="1"/>
  <c r="M48" i="2"/>
  <c r="L48" i="2"/>
  <c r="L43" i="2"/>
  <c r="L45" i="2" s="1"/>
  <c r="O43" i="2"/>
  <c r="O45" i="2" s="1"/>
  <c r="N43" i="2"/>
  <c r="N45" i="2" s="1"/>
  <c r="O38" i="2"/>
  <c r="N38" i="2"/>
  <c r="O76" i="2" l="1"/>
  <c r="H69" i="2"/>
  <c r="L75" i="2"/>
  <c r="H49" i="2"/>
  <c r="H50" i="2" s="1"/>
  <c r="H52" i="2" s="1"/>
  <c r="H94" i="2"/>
  <c r="H95" i="2" s="1"/>
  <c r="L74" i="2"/>
  <c r="M75" i="2"/>
  <c r="M76" i="2" s="1"/>
  <c r="N75" i="2"/>
  <c r="N76" i="2" s="1"/>
  <c r="P43" i="2"/>
  <c r="P45" i="2" s="1"/>
  <c r="P50" i="2"/>
  <c r="P52" i="2" s="1"/>
  <c r="M43" i="2"/>
  <c r="M45" i="2" s="1"/>
  <c r="L76" i="2" l="1"/>
  <c r="P38" i="2"/>
  <c r="M38" i="2"/>
  <c r="P33" i="2"/>
  <c r="M28" i="2"/>
  <c r="N28" i="2"/>
  <c r="P20" i="2"/>
  <c r="P25" i="2" s="1"/>
  <c r="M19" i="2"/>
  <c r="N19" i="2"/>
  <c r="L20" i="2"/>
  <c r="P15" i="2"/>
  <c r="P6" i="2"/>
  <c r="P14" i="2" s="1"/>
  <c r="O6" i="2"/>
  <c r="O14" i="2" s="1"/>
  <c r="N6" i="2"/>
  <c r="N14" i="2" s="1"/>
  <c r="M6" i="2"/>
  <c r="M14" i="2" s="1"/>
  <c r="P10" i="2"/>
  <c r="N20" i="2" l="1"/>
  <c r="N25" i="2" s="1"/>
  <c r="M20" i="2"/>
  <c r="M25" i="2" s="1"/>
  <c r="L25" i="2"/>
  <c r="O25" i="2"/>
  <c r="P16" i="2"/>
  <c r="M10" i="2" l="1"/>
  <c r="N10" i="2"/>
  <c r="O10" i="2"/>
  <c r="M33" i="2"/>
  <c r="N33" i="2"/>
  <c r="O33" i="2"/>
  <c r="O50" i="2"/>
  <c r="O52" i="2" s="1"/>
  <c r="N94" i="2"/>
  <c r="M93" i="2"/>
  <c r="N93" i="2"/>
  <c r="O93" i="2"/>
  <c r="O12" i="2" l="1"/>
  <c r="O15" i="2" s="1"/>
  <c r="O16" i="2" s="1"/>
  <c r="O95" i="2"/>
  <c r="N95" i="2"/>
  <c r="N12" i="2"/>
  <c r="N15" i="2" s="1"/>
  <c r="N16" i="2" s="1"/>
  <c r="M12" i="2"/>
  <c r="M15" i="2" s="1"/>
  <c r="M16" i="2" s="1"/>
  <c r="M94" i="2"/>
  <c r="M95" i="2" l="1"/>
  <c r="L49" i="2"/>
  <c r="L67" i="2" l="1"/>
  <c r="L69" i="2" l="1"/>
  <c r="N50" i="2"/>
  <c r="N52" i="2" s="1"/>
  <c r="M50" i="2" l="1"/>
  <c r="M52" i="2" s="1"/>
  <c r="L93" i="2" l="1"/>
  <c r="L38" i="2"/>
  <c r="L50" i="2" l="1"/>
  <c r="L52" i="2" s="1"/>
  <c r="L95" i="2"/>
  <c r="L10" i="2"/>
  <c r="H12" i="2" s="1"/>
  <c r="H15" i="2" s="1"/>
  <c r="H16" i="2" s="1"/>
  <c r="L12" i="2" l="1"/>
  <c r="L33" i="2"/>
  <c r="L15" i="2" l="1"/>
  <c r="L6" i="2" l="1"/>
  <c r="L14" i="2" s="1"/>
  <c r="L16" i="2" s="1"/>
</calcChain>
</file>

<file path=xl/sharedStrings.xml><?xml version="1.0" encoding="utf-8"?>
<sst xmlns="http://schemas.openxmlformats.org/spreadsheetml/2006/main" count="124" uniqueCount="110">
  <si>
    <t xml:space="preserve">Alternative Resultatmål (APM'er) </t>
  </si>
  <si>
    <t xml:space="preserve">BN Bank benytter flere alternative resultatmål (APM'er) som gir nyttig informasjon for å supplere regnskapet. Dette er nøkkeltall som ikke er definert i IFRS og som ikke nødvendigvis er direkte sammenlignbare med andre selskapers resultatmål. APM'er er ikke ment å erstatte eller overskygge regnskapstallene, men er inkludert i våre rapporter for å gi innsikt og forståelse for BN Bank sin resultatoppnåelse og representerer viktige måltall for hvordan ledelsen styrer banken.  </t>
  </si>
  <si>
    <t xml:space="preserve">Nøkkeltall som er regulert i IFRS eller annen lovgivning er ikke regnet som alternative resultatmål. Det samme gjelder for ikke-finansiell informasjon. BN Bank sine alternative resultatmål er i hovedsak presentert i nøkkeltallsoppstillingen og i årsberetningen.  APM'ene som nevnt under har vært brukt konsistent over tid. </t>
  </si>
  <si>
    <t xml:space="preserve">Alternative resultatmål i BN Bank med definisjoner: </t>
  </si>
  <si>
    <t>Begrunnelse og definisjon</t>
  </si>
  <si>
    <t>Egenkapitalrentabilitet</t>
  </si>
  <si>
    <t>Rentenetto</t>
  </si>
  <si>
    <t>Nøkkeltallet gir informasjon om hvor stor andel netto rente- og kredittprovisjonsinntekter utgjør av gjennomsnittlig forvaltningskapital i perioden.</t>
  </si>
  <si>
    <t>Kostnadsprosent</t>
  </si>
  <si>
    <t xml:space="preserve">Kostnadsprosent er inkludert for å gi informasjon om sammenhengen mellom inntekter og kostnader, og er vurdert å være et av de viktigste finansielle måltall i BN Bank. Beregnes som sum driftskostnader dividert med sum inntekter. </t>
  </si>
  <si>
    <t xml:space="preserve">Innskuddsdekning  </t>
  </si>
  <si>
    <t>Innskuddsdekning beregnes som andel innskudd fra kunder i prosent av netto utlån til kunder. Måltallet gir relevant informasjon om likviditeten til BN Bank.</t>
  </si>
  <si>
    <t>Utlånsvekst (brutto) siste 12 måneder</t>
  </si>
  <si>
    <t>Innskuddsvekst siste 12 mnd</t>
  </si>
  <si>
    <t xml:space="preserve">Nøkkeltallet gir et bilde på utviklingen i bankens innskuddsvolum og beregnes som innskudd fra kunder ved utløpet av perioden minus innskudd fra kunder ved starten av perioden, dividert på innskudd fra kunder ved starten av perioden. </t>
  </si>
  <si>
    <t>Gjennomsnittlig forvaltningskapital</t>
  </si>
  <si>
    <t>Nøkkeltallet beregnes som et gjennomsnitt av kvartalsvis forvaltningskapital inneværende år.</t>
  </si>
  <si>
    <t>Likviditetsdekning (LCR)</t>
  </si>
  <si>
    <t>Dette er et viktig nøkkeltall i oppfølging av bankens likvidietssituasjon og beregnes som forholdet mellom likvide eiendeler i forhold til netto likviditetsutgang i et 30 dagers alvorlig stresscenario. Oppgis som gjennomsnitt pr år.</t>
  </si>
  <si>
    <t>Brutto utlån inklusive utlån solgt til SB1 Boligkreditt og SB1 Næringskreditt</t>
  </si>
  <si>
    <t>Utlånsvekst (brutto) siste 12 mnd inklusive SB1 Boligkreditt og SB1 Næringskreditt</t>
  </si>
  <si>
    <t>Andel utlån finansiert via innskudd</t>
  </si>
  <si>
    <t>Dette måltallet viser innskuddsdekning tatt hensyn til de utlån om er solgt til SpareBank 1 Boligkreditt og SpareBank 1 Næringskreditt ved utløpet av perioden. Nøkkeltallet beregnes som ovenfor, men inkluderer da utlån solgt til SB1 Boligkreditt og SB1 Næringskreditt.</t>
  </si>
  <si>
    <t>Tapsprosent utlån</t>
  </si>
  <si>
    <t xml:space="preserve">Nøkkeltallet angir resultatført tapskostnad som funksjon av brutto utlån. Tallet beregnes som Tap resultatført i perioden dividert med gjennomsnittlig brutto utlån inneværende år basert på kvartalsvise observasjoner. Ved opplysninger om tapsprosent for kortere perioder enn hele år, blir resultatført tapskostnad annualisert. </t>
  </si>
  <si>
    <t>Tapsprosent utlån inklusive utlån overført til  SB1 Boligkreditt og SB1 Næringskreditt</t>
  </si>
  <si>
    <t xml:space="preserve">Nøkkeltallet angir resultatført tapskostnad som funksjon av brutto utlån inkludert lån overført til kredittforetak. Tallet beregnes som Tap resultatført i perioden dividert med gjennomsnittlig brutto utlån inneværende år basert på kvartalsvise observasjoner, inkludert lån solgt til SB 1 Boligkreditt og SB1 Næringskreditt. Ved opplysninger om tapsprosent for kortere perioder enn hele år, blir resultatført tapskostnad annualisert. </t>
  </si>
  <si>
    <t>Forholdstallet presenteres fordi det gir relevant informasjon om bankens kreditteksponering. Beregnes som sum misligholdte og andre tapsutsatte engasjement dividert med sum utlån inkludert lån solgt til SB1 Boligkreditt og SB1 Næringskreditt ved utløpet av perioden</t>
  </si>
  <si>
    <t>Utlånsmarginen gir informasjon om bankens renteinntekter på utlån til kunder ved å måle rentemarginen relativt til 3 måneders pengemarkedsrente.  Banken benytter kredittforetak som finansieringskilde, og utlånsmarginene er inkludert renteinntekter på utlån solgt til SB1 BK og SB1 NK, da dette best reflekterer bankens inntjening på totale utlån. Utlånsmarginen er beregnet som netto renteinntekter på utlån inkludert renteinntekter fra SB1 BK og SB1 NK, fratrukket rentekostnad tilsvarende 3 måneders pengemarkedsrente, dividert på snitt utlån for perioden, inkludert utlån til SB1 BK og SB1 NK. Snitt utlån er beregnet basert på daglige observasjoner.</t>
  </si>
  <si>
    <t>Innskuddsmarginer målt mot 3 måneders Nibor</t>
  </si>
  <si>
    <t>Innskuddsmargin gir informasjon om bankens netto rentekostnader på innskudd fra kunder ved å måle rentemargin relativt til 3 måneders pengemarkedsrente. Innskuddsmarginen er beregnet som netto rentekostnader på innskudd fratrukket renteinntekter tilsvarende 3 måneders pengemarkedsrente, dividert på snitt innskudd for perioden. Snitt innskudd er beregnet basert på daglige observasjoner.</t>
  </si>
  <si>
    <t>BN Bank</t>
  </si>
  <si>
    <t>Periodens resultat</t>
  </si>
  <si>
    <t>Fratrukket renter hybridkapital</t>
  </si>
  <si>
    <t>Periodens resultat eks. renter hybridkapital</t>
  </si>
  <si>
    <t>Total egenkapital</t>
  </si>
  <si>
    <t>Fratrukket hybridkapital</t>
  </si>
  <si>
    <t>Egenkapital eks. hybridkapital</t>
  </si>
  <si>
    <t>Snitt EK eks. hybridkapital</t>
  </si>
  <si>
    <t>Periodens res. annualisert eksklusive renter hybridkapital</t>
  </si>
  <si>
    <t>Delt på snitt egenkapital eksklusive hybridkapital</t>
  </si>
  <si>
    <t>Egenkapitalavkastning i prosent</t>
  </si>
  <si>
    <t>Netto rente- og kredittprovisjonsinntekter</t>
  </si>
  <si>
    <t>Annualisert beløp</t>
  </si>
  <si>
    <t>Forvaltningskapital</t>
  </si>
  <si>
    <t>Gjennomsnitlig forvaltningskapital</t>
  </si>
  <si>
    <t>Sum driftskostnader</t>
  </si>
  <si>
    <t>Andre inntekter</t>
  </si>
  <si>
    <t>SUM inntekter</t>
  </si>
  <si>
    <t>Innskudd fra og gjeld til kunder</t>
  </si>
  <si>
    <t>Netto utlån til kunder</t>
  </si>
  <si>
    <t>Innskuddsdekning</t>
  </si>
  <si>
    <t>Brutto utlån til kunder ved utgangen av perioden</t>
  </si>
  <si>
    <t>Brutto utlån til kunder ved utgangen av samme periode forrige år</t>
  </si>
  <si>
    <t>Utlånsvekst i millioner kroner</t>
  </si>
  <si>
    <t>Utlånsvekst siste 12 mnd</t>
  </si>
  <si>
    <t>Innskudd fra kunder ved utgangen av perioden</t>
  </si>
  <si>
    <t>Innskudd fra kunder ved utgangen av samme periode forrige år (kvartal)</t>
  </si>
  <si>
    <t>Innskuddsvekst (mill)</t>
  </si>
  <si>
    <t>Gjennomsnittlig forvaltningskapital inneværende år</t>
  </si>
  <si>
    <t>Brutto utlån BN Bank ASA (jfr. note 7)</t>
  </si>
  <si>
    <t>Brutto utlån til kunder inkl SB1 Boligkreditt og SB1 Næringskreditt ved utgangen av perioden</t>
  </si>
  <si>
    <t>Fratrukket brutto utlån til kunder inkl SB1 Boligkreditt og SB1 Næringskreditt ved utgangen samme periode forrige år (kvartal)</t>
  </si>
  <si>
    <t>Utlånsvekst inkl. SB1 Boligkreditt og SB1 Næringskreditt i kr</t>
  </si>
  <si>
    <t>Delt på Brutto utlån til kunder inkl SB1 Boligkreditt og SB1 Næringskreditt ved utgangen samme periode forrige år (kvartal)</t>
  </si>
  <si>
    <t>Netto tapsavsetning</t>
  </si>
  <si>
    <t>Nettoutlån til kunder inkl SB1 Boligkreditt og SB1 Næringskreditt ved utgangen av perioden</t>
  </si>
  <si>
    <t>Innskudd ved utgangen av perioden</t>
  </si>
  <si>
    <t>Andel utlån finansiert via innskudd, inklusive utlån solgt til SB1 Boligkreditt og SB1 Næringskreditt</t>
  </si>
  <si>
    <t>Tap på utlån i resultatet</t>
  </si>
  <si>
    <t>Tap på utlån annualisert</t>
  </si>
  <si>
    <t>Delt på snitt. Brutto utlån til kunder</t>
  </si>
  <si>
    <t>Tapsprosent utlån til kunder</t>
  </si>
  <si>
    <t xml:space="preserve">Delt på brutto utlån til kunder </t>
  </si>
  <si>
    <t xml:space="preserve">Misligholdte engasjement i prosent av brutto utlån </t>
  </si>
  <si>
    <t>Delt på snitt. Brutto utlån til kunder inkl. SB1 Boligkreditt og SB1 Næringskreditt</t>
  </si>
  <si>
    <t>Tapsprosent utlån til kunder, inklusive utlån til SB1 Boligkreditt og SB1 Næringskreditt</t>
  </si>
  <si>
    <t>Delt på brutto utlån til kunder inkl. SB1 Boligkreditt og SB1 Næringskreditt</t>
  </si>
  <si>
    <t>Misligholdte engasjement i prosent av brutto utlån inkl. SB1 Boligkreditt og SB1 Næringskreditt</t>
  </si>
  <si>
    <t>3 måneders Nibor, prosent, gjennomsnitt akkumulert</t>
  </si>
  <si>
    <t>Dager akkumulert</t>
  </si>
  <si>
    <t>Snitt utlånsvolum Bedriftsmarked, bankbalansen, mill kroner</t>
  </si>
  <si>
    <t>Renter på Utlån til Bedriftsmarked, bankbalansen, mill kroner</t>
  </si>
  <si>
    <t>3 måneders pengemarkedsrenter (Nibor), mill kroner</t>
  </si>
  <si>
    <t>Rentemargin, mill kroner</t>
  </si>
  <si>
    <t>Utlånsmargin mot 3 måneders nibor - Næringsliv, prosent</t>
  </si>
  <si>
    <t>Snitt utlånsvolum Personmarked, bankbalansen, mill kroner</t>
  </si>
  <si>
    <t>Renter på Utlån til Personmarked, bankbalansen, mill kroner</t>
  </si>
  <si>
    <t>Utlånsmargin mot 3 måneders nibor - Privatmarked, prosent</t>
  </si>
  <si>
    <t>Snitt innskuddsvolum, mill kroner</t>
  </si>
  <si>
    <t>Rentekostnader og lignende kostnader</t>
  </si>
  <si>
    <t>Renter på ustedte verdipapirer, etc</t>
  </si>
  <si>
    <t>Renter på Innskudd</t>
  </si>
  <si>
    <t>Rentemargin på innskudd, mill kroner</t>
  </si>
  <si>
    <t xml:space="preserve">Innskuddsmargin mot 3 måneders nibor </t>
  </si>
  <si>
    <t>Misligholdte og øvrig tapsutsatte utlån (trinn 3)</t>
  </si>
  <si>
    <t>Egenkapitalrentabilitet gir relevant informasjon om lønnsomheten i BN Bank ved å måle evne til å generere lønnsomhet fra aksjonærens investering. Egenkapitalrentabiliet er et av de viktigste finansielle måltall til BN Bank, og beregnes som aksjonærenes andel av resultatet for perioden delt på gjennomsnittlig egenkapital, fratrukket hybridkapital (fondsobligasjoner klassifisert som egenkapital).</t>
  </si>
  <si>
    <t>Dette er et av de viktigste måltallene for BN Bank og gir informasjon om aktivitet og vekst i bankens utlånsvirksomhet. Nøkkeltallet beregnes som brutto utlån ved utløpet av perioden minus brutto utlån ved starten på perioden delt på brutto utlån ved starten på perioden.</t>
  </si>
  <si>
    <t>For å oppnå en gunstigst finansering av sine utlån selger BN Bank store deler av sine utlån til SB1 Boligkreditt og SB1 Næringskreditt. BN Bank har i henhold til avtalene forvaltningsrett over disse utlånene og sum utlån inklusive de overførte utlånene er viktige måletall for banken. Nøkkeltallet beregnes som brutto utlån i BN Bank pluss brutto utlån i SB1 Boligkreditt pluss brutto utlån i SB1 Næringskreditt.</t>
  </si>
  <si>
    <t xml:space="preserve">Dette er et av de viktigste måltallene for BN Bank og gir informasjon om aktivitet og vekst i bankens totale utlånsvirksomhet inklusive lån solgt til kredittforetakene.  Banken benytter kredittforetakene som finansieringskilde, og dette nøkkeltallet som inkluderer lån solgt til kredittforetakene reflekterer aktiviteten og veksten i den totale utlånsvirksomheten. Nøkkeltallet er beregnet som Brutto utlån inkludert lån solgt til SpareBank 1 Boligkreditt og SpareBank 1 Næringskreditt ved utløpet av perioden minus Brutto utlån inkludert lån solgt til SpareBank 1 Boligkreditt og SpareBank 1 Næringskreditt ved starten av perioden dividert på Brutto utlån inkludert lån solgt til SpareBank 1 Boligkreditt og SpareBank 1 Næringskreditt ved  starten av perioden. </t>
  </si>
  <si>
    <t>Misligholdte og andre tapsutsatte engasjement (trinn 3) i % av brutto utlån</t>
  </si>
  <si>
    <t>Forholdstallet presenteres fordi det gir relevant informasjon om bankens kreditteksponering. Beregnes som sum utlån i trinn 3 dividert med sum utlån ved utløpet av perioden.</t>
  </si>
  <si>
    <t>Misligholdte og andre tapsutsatte engasjement (trinn 3) i % av brutto utlån inklusive utlån overført til  SB1 Boligkreditt og SB1 Næringskreditt</t>
  </si>
  <si>
    <t>Utlånsmargin Bedriftsmarked og Personmarked målt mot 3 måneders Nibor, inkludet utlån solgt til SpareBank 1 Boligkreditt (SB1 BK) og SpareBank 1 Næringskreditt (SB1 NK).</t>
  </si>
  <si>
    <t>Overført til SpareBank 1 Boligkreditt AS (jfr. note 7)</t>
  </si>
  <si>
    <t>Overført til SpareBank 1 Næringskreditt AS (jfr. note 7)</t>
  </si>
  <si>
    <t>Snitt utlånsvolum Bedriftsmarked, SpareBank 1 Næringskreditt, mill kroner</t>
  </si>
  <si>
    <t>Renter på Utlån til Bedriftsmarked, SpareBank 1 Næringskreditt, mill kroner</t>
  </si>
  <si>
    <t>Snitt utlånsvolum Personmarked, SpareBank 1 Boligkreditt, mill kroner</t>
  </si>
  <si>
    <t>Renter på Utlån til Personmarked, SpareBank 1 Boligkreditt, mill kroner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</si>
</sst>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
  </numFmts>
  <fonts count="12" x14ac:knownFonts="1">
    <font>
      <sz val="11"/>
      <color theme="1"/>
      <name val="Calibri"/>
      <family val="2"/>
      <scheme val="minor"/>
    </font>
    <font>
      <b/>
      <sz val="11"/>
      <color theme="1"/>
      <name val="Calibri"/>
      <family val="2"/>
      <scheme val="minor"/>
    </font>
    <font>
      <sz val="11"/>
      <name val="Calibri"/>
      <family val="2"/>
      <scheme val="minor"/>
    </font>
    <font>
      <sz val="14"/>
      <color theme="1"/>
      <name val="Calibri"/>
      <family val="2"/>
      <scheme val="minor"/>
    </font>
    <font>
      <sz val="10"/>
      <color rgb="FF000000"/>
      <name val="Arial Narrow"/>
      <family val="2"/>
    </font>
    <font>
      <sz val="11"/>
      <color theme="1"/>
      <name val="Calibri"/>
      <family val="2"/>
      <scheme val="minor"/>
    </font>
    <font>
      <b/>
      <sz val="11"/>
      <name val="Calibri"/>
      <family val="2"/>
      <scheme val="minor"/>
    </font>
    <font>
      <sz val="10"/>
      <name val="Arial"/>
      <family val="2"/>
    </font>
    <font>
      <sz val="11"/>
      <color rgb="FFFF0000"/>
      <name val="Calibri"/>
      <family val="2"/>
      <scheme val="minor"/>
    </font>
    <font>
      <b/>
      <sz val="11"/>
      <color rgb="FFFF0000"/>
      <name val="Calibri"/>
      <family val="2"/>
      <scheme val="minor"/>
    </font>
    <font>
      <sz val="11"/>
      <color theme="1" tint="0.249977111117893"/>
      <name val="Calibri"/>
      <family val="2"/>
      <scheme val="minor"/>
    </font>
    <font>
      <b/>
      <sz val="11"/>
      <color theme="1" tint="0.249977111117893"/>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style="thin">
        <color indexed="64"/>
      </left>
      <right/>
      <top/>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medium">
        <color indexed="55"/>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7" fillId="0" borderId="0"/>
  </cellStyleXfs>
  <cellXfs count="73">
    <xf numFmtId="0" fontId="0" fillId="0" borderId="0" xfId="0"/>
    <xf numFmtId="0" fontId="0" fillId="0" borderId="0" xfId="0" applyAlignment="1">
      <alignment horizontal="left" wrapText="1"/>
    </xf>
    <xf numFmtId="0" fontId="0" fillId="0" borderId="0" xfId="0" applyAlignment="1">
      <alignment horizontal="left"/>
    </xf>
    <xf numFmtId="0" fontId="1" fillId="0" borderId="0" xfId="0" applyFont="1"/>
    <xf numFmtId="0" fontId="2" fillId="2" borderId="0" xfId="0" applyFont="1" applyFill="1"/>
    <xf numFmtId="0" fontId="2" fillId="3" borderId="0" xfId="0" applyFont="1" applyFill="1"/>
    <xf numFmtId="0" fontId="2" fillId="2" borderId="0" xfId="0" applyFont="1" applyFill="1" applyAlignment="1">
      <alignment wrapText="1"/>
    </xf>
    <xf numFmtId="0" fontId="3" fillId="0" borderId="0" xfId="0" applyFont="1"/>
    <xf numFmtId="0" fontId="4" fillId="0" borderId="0" xfId="0" applyFont="1"/>
    <xf numFmtId="0" fontId="4" fillId="0" borderId="0" xfId="0" applyFont="1" applyAlignment="1">
      <alignment horizontal="left" vertical="center"/>
    </xf>
    <xf numFmtId="0" fontId="0" fillId="0" borderId="0" xfId="0" applyAlignment="1">
      <alignment wrapText="1"/>
    </xf>
    <xf numFmtId="164" fontId="2" fillId="0" borderId="1" xfId="1" applyNumberFormat="1" applyFont="1" applyBorder="1"/>
    <xf numFmtId="0" fontId="0" fillId="0" borderId="1" xfId="0" applyBorder="1" applyAlignment="1">
      <alignment wrapText="1"/>
    </xf>
    <xf numFmtId="0" fontId="1" fillId="0" borderId="1" xfId="0" applyFont="1" applyBorder="1"/>
    <xf numFmtId="0" fontId="1" fillId="5" borderId="4" xfId="0" applyFont="1" applyFill="1" applyBorder="1" applyAlignment="1">
      <alignment wrapText="1"/>
    </xf>
    <xf numFmtId="0" fontId="1" fillId="5" borderId="3" xfId="0" applyFont="1" applyFill="1" applyBorder="1" applyAlignment="1">
      <alignment wrapText="1"/>
    </xf>
    <xf numFmtId="165" fontId="6" fillId="4" borderId="3" xfId="2" applyNumberFormat="1" applyFont="1" applyFill="1" applyBorder="1"/>
    <xf numFmtId="0" fontId="8" fillId="0" borderId="0" xfId="0" applyFont="1"/>
    <xf numFmtId="43" fontId="8" fillId="0" borderId="0" xfId="0" applyNumberFormat="1" applyFont="1"/>
    <xf numFmtId="165" fontId="6" fillId="5" borderId="3" xfId="2" applyNumberFormat="1" applyFont="1" applyFill="1" applyBorder="1"/>
    <xf numFmtId="10" fontId="6" fillId="5" borderId="4" xfId="2" applyNumberFormat="1" applyFont="1" applyFill="1" applyBorder="1"/>
    <xf numFmtId="10" fontId="6" fillId="5" borderId="3" xfId="2" applyNumberFormat="1" applyFont="1" applyFill="1" applyBorder="1"/>
    <xf numFmtId="0" fontId="2" fillId="0" borderId="0" xfId="0" applyFont="1"/>
    <xf numFmtId="14" fontId="6" fillId="0" borderId="1" xfId="0" applyNumberFormat="1" applyFont="1" applyBorder="1" applyAlignment="1">
      <alignment wrapText="1"/>
    </xf>
    <xf numFmtId="164" fontId="2" fillId="0" borderId="0" xfId="1" applyNumberFormat="1" applyFont="1" applyFill="1"/>
    <xf numFmtId="164" fontId="8" fillId="0" borderId="0" xfId="1" applyNumberFormat="1" applyFont="1" applyFill="1"/>
    <xf numFmtId="165" fontId="6" fillId="5" borderId="4" xfId="2" applyNumberFormat="1" applyFont="1" applyFill="1" applyBorder="1"/>
    <xf numFmtId="0" fontId="0" fillId="0" borderId="2" xfId="0" applyBorder="1"/>
    <xf numFmtId="0" fontId="0" fillId="0" borderId="1" xfId="0" applyBorder="1"/>
    <xf numFmtId="0" fontId="1" fillId="5" borderId="4" xfId="0" applyFont="1" applyFill="1" applyBorder="1"/>
    <xf numFmtId="0" fontId="1" fillId="5" borderId="3" xfId="0" applyFont="1" applyFill="1" applyBorder="1"/>
    <xf numFmtId="9" fontId="6" fillId="5" borderId="4" xfId="2" applyFont="1" applyFill="1" applyBorder="1" applyAlignment="1"/>
    <xf numFmtId="0" fontId="2" fillId="0" borderId="1" xfId="0" applyFont="1" applyBorder="1"/>
    <xf numFmtId="10" fontId="2" fillId="0" borderId="0" xfId="2" applyNumberFormat="1" applyFont="1"/>
    <xf numFmtId="0" fontId="1" fillId="0" borderId="5" xfId="0" applyFont="1" applyBorder="1"/>
    <xf numFmtId="165" fontId="6" fillId="0" borderId="5" xfId="2" applyNumberFormat="1" applyFont="1" applyFill="1" applyBorder="1"/>
    <xf numFmtId="165" fontId="9" fillId="0" borderId="5" xfId="2" applyNumberFormat="1" applyFont="1" applyFill="1" applyBorder="1"/>
    <xf numFmtId="0" fontId="10" fillId="0" borderId="0" xfId="0" applyFont="1"/>
    <xf numFmtId="10" fontId="10" fillId="0" borderId="0" xfId="2" applyNumberFormat="1" applyFont="1"/>
    <xf numFmtId="0" fontId="2" fillId="2" borderId="6" xfId="0" applyFont="1" applyFill="1" applyBorder="1"/>
    <xf numFmtId="164" fontId="6" fillId="5" borderId="4" xfId="1" applyNumberFormat="1" applyFont="1" applyFill="1" applyBorder="1"/>
    <xf numFmtId="0" fontId="6" fillId="0" borderId="0" xfId="0" applyFont="1"/>
    <xf numFmtId="10" fontId="11" fillId="0" borderId="0" xfId="2" applyNumberFormat="1" applyFont="1" applyFill="1" applyBorder="1"/>
    <xf numFmtId="10" fontId="6" fillId="0" borderId="0" xfId="2" applyNumberFormat="1" applyFont="1" applyFill="1" applyBorder="1"/>
    <xf numFmtId="4" fontId="10" fillId="0" borderId="0" xfId="0" applyNumberFormat="1" applyFont="1"/>
    <xf numFmtId="4" fontId="2" fillId="0" borderId="0" xfId="0" applyNumberFormat="1" applyFont="1"/>
    <xf numFmtId="10" fontId="10" fillId="0" borderId="0" xfId="2" applyNumberFormat="1" applyFont="1" applyFill="1"/>
    <xf numFmtId="10" fontId="2" fillId="0" borderId="0" xfId="2" applyNumberFormat="1" applyFont="1" applyFill="1"/>
    <xf numFmtId="164" fontId="10" fillId="0" borderId="0" xfId="1" applyNumberFormat="1" applyFont="1" applyFill="1"/>
    <xf numFmtId="164" fontId="10" fillId="0" borderId="1" xfId="1" applyNumberFormat="1" applyFont="1" applyFill="1" applyBorder="1"/>
    <xf numFmtId="10" fontId="2" fillId="6" borderId="0" xfId="2" applyNumberFormat="1" applyFont="1" applyFill="1"/>
    <xf numFmtId="14" fontId="8" fillId="0" borderId="0" xfId="0" applyNumberFormat="1" applyFont="1"/>
    <xf numFmtId="164" fontId="8" fillId="0" borderId="0" xfId="0" applyNumberFormat="1" applyFont="1"/>
    <xf numFmtId="164" fontId="2" fillId="3" borderId="0" xfId="1" applyNumberFormat="1" applyFont="1" applyFill="1"/>
    <xf numFmtId="164" fontId="2" fillId="0" borderId="1" xfId="1" applyNumberFormat="1" applyFont="1" applyFill="1" applyBorder="1"/>
    <xf numFmtId="164" fontId="2" fillId="0" borderId="1" xfId="0" applyNumberFormat="1" applyFont="1" applyBorder="1"/>
    <xf numFmtId="164" fontId="2" fillId="0" borderId="0" xfId="1" applyNumberFormat="1" applyFont="1" applyFill="1" applyBorder="1"/>
    <xf numFmtId="164" fontId="2" fillId="0" borderId="0" xfId="0" applyNumberFormat="1" applyFont="1"/>
    <xf numFmtId="164" fontId="8" fillId="0" borderId="0" xfId="1" applyNumberFormat="1" applyFont="1" applyFill="1" applyBorder="1"/>
    <xf numFmtId="0" fontId="0" fillId="3" borderId="0" xfId="0" applyFill="1"/>
    <xf numFmtId="164" fontId="2" fillId="0" borderId="0" xfId="1" applyNumberFormat="1" applyFont="1"/>
    <xf numFmtId="164" fontId="8" fillId="0" borderId="0" xfId="1" applyNumberFormat="1" applyFont="1"/>
    <xf numFmtId="165" fontId="9" fillId="0" borderId="5" xfId="2" applyNumberFormat="1" applyFont="1" applyBorder="1"/>
    <xf numFmtId="164" fontId="10" fillId="0" borderId="0" xfId="1" applyNumberFormat="1" applyFont="1"/>
    <xf numFmtId="10" fontId="8" fillId="6" borderId="0" xfId="2" applyNumberFormat="1" applyFont="1" applyFill="1"/>
    <xf numFmtId="10" fontId="8" fillId="0" borderId="0" xfId="2" applyNumberFormat="1" applyFont="1"/>
    <xf numFmtId="14" fontId="2" fillId="0" borderId="0" xfId="0" applyNumberFormat="1" applyFont="1"/>
    <xf numFmtId="165" fontId="6" fillId="0" borderId="5" xfId="2" applyNumberFormat="1" applyFont="1" applyBorder="1"/>
    <xf numFmtId="0" fontId="6" fillId="5" borderId="4" xfId="0" applyFont="1" applyFill="1" applyBorder="1" applyAlignment="1">
      <alignment wrapText="1"/>
    </xf>
    <xf numFmtId="0" fontId="2" fillId="0" borderId="1" xfId="0" applyFont="1" applyBorder="1" applyAlignment="1">
      <alignment wrapText="1"/>
    </xf>
    <xf numFmtId="0" fontId="6" fillId="5" borderId="3" xfId="0" applyFont="1" applyFill="1" applyBorder="1" applyAlignment="1">
      <alignment wrapText="1"/>
    </xf>
    <xf numFmtId="0" fontId="1" fillId="4" borderId="3" xfId="0" applyFont="1" applyFill="1" applyBorder="1"/>
    <xf numFmtId="0" fontId="0" fillId="0" borderId="0" xfId="0" applyAlignment="1">
      <alignment horizontal="left" wrapText="1"/>
    </xf>
  </cellXfs>
  <cellStyles count="4">
    <cellStyle name="Komma" xfId="1" builtinId="3"/>
    <cellStyle name="Normal" xfId="0" builtinId="0"/>
    <cellStyle name="Normal 2" xfId="3" xr:uid="{00000000-0005-0000-0000-000002000000}"/>
    <cellStyle name="Prosent" xfId="2" builtinId="5"/>
  </cellStyles>
  <dxfs count="2">
    <dxf>
      <alignment horizontal="left"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9"/>
        </patternFill>
      </fill>
      <alignment horizontal="general" vertical="bottom" textRotation="0" wrapText="1" indent="0" justifyLastLine="0" shrinkToFit="0" readingOrder="0"/>
      <border diagonalUp="0" diagonalDown="0" outline="0">
        <left/>
        <right/>
        <top/>
        <bottom style="medium">
          <color indexed="55"/>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5:B22" totalsRowShown="0">
  <autoFilter ref="A5:B22" xr:uid="{00000000-0009-0000-0100-000001000000}"/>
  <tableColumns count="2">
    <tableColumn id="1" xr3:uid="{00000000-0010-0000-0000-000001000000}" name="Alternative resultatmål i BN Bank med definisjoner: " dataDxfId="1"/>
    <tableColumn id="3" xr3:uid="{00000000-0010-0000-0000-000003000000}" name="Begrunnelse og definisjon" dataDxfId="0"/>
  </tableColumns>
  <tableStyleInfo name="TableStyleMedium15"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topLeftCell="A2" zoomScaleNormal="100" workbookViewId="0">
      <selection activeCell="A9" sqref="A9:XFD9"/>
    </sheetView>
  </sheetViews>
  <sheetFormatPr baseColWidth="10" defaultColWidth="11.453125" defaultRowHeight="14.5" x14ac:dyDescent="0.35"/>
  <cols>
    <col min="1" max="1" width="54.81640625" customWidth="1"/>
    <col min="2" max="2" width="112.1796875" customWidth="1"/>
  </cols>
  <sheetData>
    <row r="1" spans="1:3" ht="18.5" x14ac:dyDescent="0.45">
      <c r="A1" s="7" t="s">
        <v>0</v>
      </c>
    </row>
    <row r="2" spans="1:3" s="2" customFormat="1" ht="54.75" customHeight="1" x14ac:dyDescent="0.35">
      <c r="A2" s="72" t="s">
        <v>1</v>
      </c>
      <c r="B2" s="72"/>
    </row>
    <row r="3" spans="1:3" ht="33" customHeight="1" x14ac:dyDescent="0.35">
      <c r="A3" s="72" t="s">
        <v>2</v>
      </c>
      <c r="B3" s="72"/>
    </row>
    <row r="4" spans="1:3" ht="33" customHeight="1" x14ac:dyDescent="0.35">
      <c r="A4" s="1"/>
      <c r="B4" s="1"/>
    </row>
    <row r="5" spans="1:3" x14ac:dyDescent="0.35">
      <c r="A5" s="3" t="s">
        <v>3</v>
      </c>
      <c r="B5" s="3" t="s">
        <v>4</v>
      </c>
    </row>
    <row r="6" spans="1:3" ht="60" customHeight="1" x14ac:dyDescent="0.35">
      <c r="A6" s="4" t="s">
        <v>5</v>
      </c>
      <c r="B6" s="1" t="s">
        <v>96</v>
      </c>
    </row>
    <row r="7" spans="1:3" ht="44.25" customHeight="1" x14ac:dyDescent="0.35">
      <c r="A7" s="5" t="s">
        <v>6</v>
      </c>
      <c r="B7" s="1" t="s">
        <v>7</v>
      </c>
    </row>
    <row r="8" spans="1:3" ht="42.75" customHeight="1" x14ac:dyDescent="0.35">
      <c r="A8" s="4" t="s">
        <v>8</v>
      </c>
      <c r="B8" s="1" t="s">
        <v>9</v>
      </c>
    </row>
    <row r="9" spans="1:3" ht="33" customHeight="1" x14ac:dyDescent="0.35">
      <c r="A9" s="4" t="s">
        <v>10</v>
      </c>
      <c r="B9" s="1" t="s">
        <v>11</v>
      </c>
      <c r="C9" s="1"/>
    </row>
    <row r="10" spans="1:3" ht="47.25" customHeight="1" thickBot="1" x14ac:dyDescent="0.4">
      <c r="A10" s="39" t="s">
        <v>12</v>
      </c>
      <c r="B10" s="1" t="s">
        <v>97</v>
      </c>
      <c r="C10" s="1"/>
    </row>
    <row r="11" spans="1:3" ht="47.25" customHeight="1" x14ac:dyDescent="0.35">
      <c r="A11" s="6" t="s">
        <v>13</v>
      </c>
      <c r="B11" s="1" t="s">
        <v>14</v>
      </c>
      <c r="C11" s="1"/>
    </row>
    <row r="12" spans="1:3" x14ac:dyDescent="0.35">
      <c r="A12" s="6" t="s">
        <v>15</v>
      </c>
      <c r="B12" s="1" t="s">
        <v>16</v>
      </c>
    </row>
    <row r="13" spans="1:3" ht="29.5" thickBot="1" x14ac:dyDescent="0.4">
      <c r="A13" s="39" t="s">
        <v>17</v>
      </c>
      <c r="B13" s="1" t="s">
        <v>18</v>
      </c>
    </row>
    <row r="14" spans="1:3" ht="58" x14ac:dyDescent="0.35">
      <c r="A14" s="6" t="s">
        <v>19</v>
      </c>
      <c r="B14" s="1" t="s">
        <v>98</v>
      </c>
    </row>
    <row r="15" spans="1:3" ht="87" x14ac:dyDescent="0.35">
      <c r="A15" s="6" t="s">
        <v>20</v>
      </c>
      <c r="B15" s="1" t="s">
        <v>99</v>
      </c>
    </row>
    <row r="16" spans="1:3" ht="29" x14ac:dyDescent="0.35">
      <c r="A16" s="6" t="s">
        <v>21</v>
      </c>
      <c r="B16" s="1" t="s">
        <v>22</v>
      </c>
    </row>
    <row r="17" spans="1:2" ht="43.5" x14ac:dyDescent="0.35">
      <c r="A17" s="4" t="s">
        <v>23</v>
      </c>
      <c r="B17" s="1" t="s">
        <v>24</v>
      </c>
    </row>
    <row r="18" spans="1:2" ht="47.25" customHeight="1" x14ac:dyDescent="0.35">
      <c r="A18" s="6" t="s">
        <v>100</v>
      </c>
      <c r="B18" s="1" t="s">
        <v>101</v>
      </c>
    </row>
    <row r="19" spans="1:2" ht="58" x14ac:dyDescent="0.35">
      <c r="A19" s="6" t="s">
        <v>25</v>
      </c>
      <c r="B19" s="1" t="s">
        <v>26</v>
      </c>
    </row>
    <row r="20" spans="1:2" ht="46.5" customHeight="1" x14ac:dyDescent="0.35">
      <c r="A20" s="6" t="s">
        <v>102</v>
      </c>
      <c r="B20" s="1" t="s">
        <v>27</v>
      </c>
    </row>
    <row r="21" spans="1:2" ht="87" x14ac:dyDescent="0.35">
      <c r="A21" s="6" t="s">
        <v>103</v>
      </c>
      <c r="B21" s="1" t="s">
        <v>28</v>
      </c>
    </row>
    <row r="22" spans="1:2" ht="58" x14ac:dyDescent="0.35">
      <c r="A22" s="4" t="s">
        <v>29</v>
      </c>
      <c r="B22" s="1" t="s">
        <v>30</v>
      </c>
    </row>
    <row r="23" spans="1:2" x14ac:dyDescent="0.35">
      <c r="A23" s="8"/>
    </row>
    <row r="24" spans="1:2" x14ac:dyDescent="0.35">
      <c r="A24" s="8"/>
    </row>
    <row r="25" spans="1:2" x14ac:dyDescent="0.35">
      <c r="A25" s="9"/>
    </row>
  </sheetData>
  <mergeCells count="2">
    <mergeCell ref="A2:B2"/>
    <mergeCell ref="A3:B3"/>
  </mergeCells>
  <pageMargins left="0.7" right="0.7" top="0.75" bottom="0.75" header="0.3" footer="0.3"/>
  <pageSetup paperSize="9" scale="52"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38"/>
  <sheetViews>
    <sheetView tabSelected="1" zoomScale="90" zoomScaleNormal="90" workbookViewId="0">
      <pane xSplit="1" ySplit="1" topLeftCell="B2" activePane="bottomRight" state="frozen"/>
      <selection pane="topRight" activeCell="B1" activeCellId="1" sqref="B3 B1:B1048576"/>
      <selection pane="bottomLeft" activeCell="B1" activeCellId="1" sqref="B3 B1:B1048576"/>
      <selection pane="bottomRight" activeCell="B2" sqref="B2"/>
    </sheetView>
  </sheetViews>
  <sheetFormatPr baseColWidth="10" defaultColWidth="11.453125" defaultRowHeight="14.5" x14ac:dyDescent="0.35"/>
  <cols>
    <col min="1" max="1" width="74.453125" customWidth="1"/>
    <col min="2" max="15" width="18" style="17" customWidth="1"/>
    <col min="16" max="16" width="18" style="22" customWidth="1"/>
    <col min="17" max="17" width="11.453125" customWidth="1"/>
  </cols>
  <sheetData>
    <row r="1" spans="1:17" s="13" customFormat="1" x14ac:dyDescent="0.35">
      <c r="A1" s="13" t="s">
        <v>31</v>
      </c>
      <c r="B1" s="23">
        <v>45107</v>
      </c>
      <c r="C1" s="23">
        <v>45016</v>
      </c>
      <c r="D1" s="23">
        <v>44926</v>
      </c>
      <c r="E1" s="23">
        <v>44834</v>
      </c>
      <c r="F1" s="23">
        <v>44742</v>
      </c>
      <c r="G1" s="23">
        <v>44651</v>
      </c>
      <c r="H1" s="23">
        <v>44561</v>
      </c>
      <c r="I1" s="23">
        <v>44469</v>
      </c>
      <c r="J1" s="23">
        <v>44377</v>
      </c>
      <c r="K1" s="23">
        <v>44286</v>
      </c>
      <c r="L1" s="23">
        <v>44196</v>
      </c>
      <c r="M1" s="23">
        <v>44104</v>
      </c>
      <c r="N1" s="23">
        <v>44012</v>
      </c>
      <c r="O1" s="23">
        <v>43921</v>
      </c>
      <c r="P1" s="23">
        <v>43830</v>
      </c>
      <c r="Q1" s="28"/>
    </row>
    <row r="2" spans="1:17" x14ac:dyDescent="0.35">
      <c r="B2" s="22"/>
      <c r="C2" s="22"/>
      <c r="D2" s="22"/>
      <c r="F2" s="22"/>
    </row>
    <row r="3" spans="1:17" x14ac:dyDescent="0.35">
      <c r="A3" s="27"/>
      <c r="B3" s="22"/>
      <c r="C3" s="22"/>
      <c r="D3" s="22"/>
      <c r="F3" s="22"/>
      <c r="K3" s="52"/>
    </row>
    <row r="4" spans="1:17" x14ac:dyDescent="0.35">
      <c r="A4" t="s">
        <v>32</v>
      </c>
      <c r="B4" s="60">
        <v>354</v>
      </c>
      <c r="C4" s="60">
        <v>183</v>
      </c>
      <c r="D4" s="60">
        <v>595</v>
      </c>
      <c r="E4" s="60">
        <v>435</v>
      </c>
      <c r="F4" s="60">
        <v>281</v>
      </c>
      <c r="G4" s="60">
        <v>143</v>
      </c>
      <c r="H4" s="56">
        <v>478</v>
      </c>
      <c r="I4" s="56">
        <v>356</v>
      </c>
      <c r="J4" s="56">
        <v>239</v>
      </c>
      <c r="K4" s="56">
        <v>117</v>
      </c>
      <c r="L4" s="56">
        <v>354</v>
      </c>
      <c r="M4" s="56">
        <v>249</v>
      </c>
      <c r="N4" s="56">
        <v>150</v>
      </c>
      <c r="O4" s="56">
        <v>69</v>
      </c>
      <c r="P4" s="56">
        <v>327</v>
      </c>
    </row>
    <row r="5" spans="1:17" x14ac:dyDescent="0.35">
      <c r="A5" s="28" t="s">
        <v>33</v>
      </c>
      <c r="B5" s="11">
        <v>16</v>
      </c>
      <c r="C5" s="11">
        <v>8</v>
      </c>
      <c r="D5" s="11">
        <v>17</v>
      </c>
      <c r="E5" s="11">
        <v>11.3946057</v>
      </c>
      <c r="F5" s="11">
        <v>6.9135794300000004</v>
      </c>
      <c r="G5" s="11">
        <v>3.43107096</v>
      </c>
      <c r="H5" s="54">
        <v>10</v>
      </c>
      <c r="I5" s="54">
        <v>7</v>
      </c>
      <c r="J5" s="54">
        <v>5</v>
      </c>
      <c r="K5" s="54">
        <v>2</v>
      </c>
      <c r="L5" s="54">
        <v>11</v>
      </c>
      <c r="M5" s="54">
        <v>8</v>
      </c>
      <c r="N5" s="54">
        <v>6</v>
      </c>
      <c r="O5" s="54">
        <v>3</v>
      </c>
      <c r="P5" s="54">
        <v>14</v>
      </c>
    </row>
    <row r="6" spans="1:17" x14ac:dyDescent="0.35">
      <c r="A6" t="s">
        <v>34</v>
      </c>
      <c r="B6" s="60">
        <f>B4-B5</f>
        <v>338</v>
      </c>
      <c r="C6" s="60">
        <f t="shared" ref="C6:H6" si="0">C4-C5</f>
        <v>175</v>
      </c>
      <c r="D6" s="60">
        <f t="shared" si="0"/>
        <v>578</v>
      </c>
      <c r="E6" s="60">
        <f t="shared" si="0"/>
        <v>423.6053943</v>
      </c>
      <c r="F6" s="60">
        <f t="shared" si="0"/>
        <v>274.08642056999997</v>
      </c>
      <c r="G6" s="60">
        <f t="shared" si="0"/>
        <v>139.56892904</v>
      </c>
      <c r="H6" s="56">
        <f t="shared" si="0"/>
        <v>468</v>
      </c>
      <c r="I6" s="56">
        <v>349</v>
      </c>
      <c r="J6" s="56">
        <v>234</v>
      </c>
      <c r="K6" s="56">
        <v>115</v>
      </c>
      <c r="L6" s="56">
        <f t="shared" ref="L6:P6" si="1">L4-L5</f>
        <v>343</v>
      </c>
      <c r="M6" s="56">
        <f t="shared" si="1"/>
        <v>241</v>
      </c>
      <c r="N6" s="56">
        <f t="shared" si="1"/>
        <v>144</v>
      </c>
      <c r="O6" s="56">
        <f t="shared" si="1"/>
        <v>66</v>
      </c>
      <c r="P6" s="56">
        <f t="shared" si="1"/>
        <v>313</v>
      </c>
    </row>
    <row r="7" spans="1:17" x14ac:dyDescent="0.35">
      <c r="B7" s="60"/>
      <c r="C7" s="60"/>
      <c r="D7" s="60"/>
      <c r="E7" s="61"/>
      <c r="F7" s="60"/>
      <c r="G7" s="60"/>
      <c r="H7" s="56"/>
      <c r="I7" s="56"/>
      <c r="J7" s="56"/>
      <c r="K7" s="56"/>
      <c r="L7" s="58"/>
      <c r="M7" s="58"/>
      <c r="N7" s="58"/>
      <c r="O7" s="56"/>
      <c r="P7" s="56"/>
    </row>
    <row r="8" spans="1:17" x14ac:dyDescent="0.35">
      <c r="A8" t="s">
        <v>35</v>
      </c>
      <c r="B8" s="60">
        <v>5758</v>
      </c>
      <c r="C8" s="60">
        <v>5792</v>
      </c>
      <c r="D8" s="60">
        <v>5499</v>
      </c>
      <c r="E8" s="60">
        <v>5343.5</v>
      </c>
      <c r="F8" s="60">
        <v>5188</v>
      </c>
      <c r="G8" s="60">
        <v>5255</v>
      </c>
      <c r="H8" s="56">
        <v>5017.25</v>
      </c>
      <c r="I8" s="56">
        <v>4896</v>
      </c>
      <c r="J8" s="56">
        <v>4782</v>
      </c>
      <c r="K8" s="56">
        <v>4664</v>
      </c>
      <c r="L8" s="56">
        <v>4549</v>
      </c>
      <c r="M8" s="56">
        <v>4444</v>
      </c>
      <c r="N8" s="56">
        <v>4342</v>
      </c>
      <c r="O8" s="56">
        <v>4259</v>
      </c>
      <c r="P8" s="56">
        <v>4297</v>
      </c>
    </row>
    <row r="9" spans="1:17" x14ac:dyDescent="0.35">
      <c r="A9" s="28" t="s">
        <v>36</v>
      </c>
      <c r="B9" s="11">
        <v>444</v>
      </c>
      <c r="C9" s="11">
        <v>444</v>
      </c>
      <c r="D9" s="11">
        <v>325</v>
      </c>
      <c r="E9" s="11">
        <v>325</v>
      </c>
      <c r="F9" s="11">
        <v>325</v>
      </c>
      <c r="G9" s="11">
        <v>325</v>
      </c>
      <c r="H9" s="54">
        <v>225</v>
      </c>
      <c r="I9" s="54">
        <v>225</v>
      </c>
      <c r="J9" s="54">
        <v>225</v>
      </c>
      <c r="K9" s="54">
        <v>225</v>
      </c>
      <c r="L9" s="54">
        <v>226</v>
      </c>
      <c r="M9" s="54">
        <v>226</v>
      </c>
      <c r="N9" s="54">
        <v>226</v>
      </c>
      <c r="O9" s="54">
        <v>227</v>
      </c>
      <c r="P9" s="54">
        <v>227</v>
      </c>
    </row>
    <row r="10" spans="1:17" x14ac:dyDescent="0.35">
      <c r="A10" t="s">
        <v>37</v>
      </c>
      <c r="B10" s="60">
        <f t="shared" ref="B10:G10" si="2">B8-B9</f>
        <v>5314</v>
      </c>
      <c r="C10" s="60">
        <f t="shared" si="2"/>
        <v>5348</v>
      </c>
      <c r="D10" s="60">
        <f t="shared" si="2"/>
        <v>5174</v>
      </c>
      <c r="E10" s="60">
        <f t="shared" si="2"/>
        <v>5018.5</v>
      </c>
      <c r="F10" s="60">
        <f t="shared" si="2"/>
        <v>4863</v>
      </c>
      <c r="G10" s="60">
        <f t="shared" si="2"/>
        <v>4930</v>
      </c>
      <c r="H10" s="56">
        <f t="shared" ref="H10" si="3">H8-H9</f>
        <v>4792.25</v>
      </c>
      <c r="I10" s="56">
        <v>4671</v>
      </c>
      <c r="J10" s="56">
        <v>4557</v>
      </c>
      <c r="K10" s="56">
        <v>4439</v>
      </c>
      <c r="L10" s="56">
        <f t="shared" ref="L10" si="4">L8-L9</f>
        <v>4323</v>
      </c>
      <c r="M10" s="56">
        <f t="shared" ref="M10" si="5">M8-M9</f>
        <v>4218</v>
      </c>
      <c r="N10" s="56">
        <f t="shared" ref="N10:P10" si="6">N8-N9</f>
        <v>4116</v>
      </c>
      <c r="O10" s="56">
        <f t="shared" si="6"/>
        <v>4032</v>
      </c>
      <c r="P10" s="56">
        <f t="shared" si="6"/>
        <v>4070</v>
      </c>
    </row>
    <row r="11" spans="1:17" x14ac:dyDescent="0.35">
      <c r="B11" s="60"/>
      <c r="C11" s="60"/>
      <c r="D11" s="60"/>
      <c r="E11" s="61"/>
      <c r="F11" s="60"/>
      <c r="G11" s="60"/>
      <c r="H11" s="56"/>
      <c r="I11" s="56"/>
      <c r="J11" s="56"/>
      <c r="K11" s="56"/>
      <c r="L11" s="58"/>
      <c r="M11" s="58"/>
      <c r="N11" s="58"/>
      <c r="O11" s="56"/>
      <c r="P11" s="56"/>
    </row>
    <row r="12" spans="1:17" x14ac:dyDescent="0.35">
      <c r="A12" t="s">
        <v>38</v>
      </c>
      <c r="B12" s="60">
        <f>(C10+B10+D10)/3</f>
        <v>5278.666666666667</v>
      </c>
      <c r="C12" s="60">
        <f>(D10+C10)/2</f>
        <v>5261</v>
      </c>
      <c r="D12" s="60">
        <f>(E10+D10+F10+G10+H10)/5</f>
        <v>4955.55</v>
      </c>
      <c r="E12" s="60">
        <f>(F10+E10+G10+H10)/4</f>
        <v>4900.9375</v>
      </c>
      <c r="F12" s="60">
        <f>(G10+F10+H10)/3</f>
        <v>4861.75</v>
      </c>
      <c r="G12" s="60">
        <f>(H10+G10)/2</f>
        <v>4861.125</v>
      </c>
      <c r="H12" s="56">
        <f>AVERAGE(H10:L10)</f>
        <v>4556.45</v>
      </c>
      <c r="I12" s="56">
        <v>4496.75</v>
      </c>
      <c r="J12" s="56">
        <v>4439</v>
      </c>
      <c r="K12" s="56">
        <v>4380.5</v>
      </c>
      <c r="L12" s="56">
        <f>(L10+N10+M10+O10+P10)/5</f>
        <v>4151.8</v>
      </c>
      <c r="M12" s="56">
        <f>(M10+O10+N10+P10)/4</f>
        <v>4109</v>
      </c>
      <c r="N12" s="56">
        <f>(N10+P10+O10)/3</f>
        <v>4072.6666666666665</v>
      </c>
      <c r="O12" s="56">
        <f>(O10+P10)/2</f>
        <v>4051</v>
      </c>
      <c r="P12" s="56">
        <v>3909</v>
      </c>
    </row>
    <row r="13" spans="1:17" x14ac:dyDescent="0.35">
      <c r="B13" s="60"/>
      <c r="C13" s="61"/>
      <c r="D13" s="60"/>
      <c r="E13" s="61"/>
      <c r="F13" s="61"/>
      <c r="G13" s="61"/>
      <c r="H13" s="58"/>
      <c r="I13" s="58"/>
      <c r="J13" s="58"/>
      <c r="K13" s="58"/>
      <c r="L13" s="56"/>
      <c r="M13" s="58"/>
      <c r="N13" s="58"/>
      <c r="O13" s="58"/>
      <c r="P13" s="56"/>
    </row>
    <row r="14" spans="1:17" x14ac:dyDescent="0.35">
      <c r="A14" t="s">
        <v>39</v>
      </c>
      <c r="B14" s="60">
        <f>B6/181*365</f>
        <v>681.60220994475139</v>
      </c>
      <c r="C14" s="60">
        <f>C6/90*365</f>
        <v>709.72222222222217</v>
      </c>
      <c r="D14" s="60">
        <f>D6/365*365</f>
        <v>578</v>
      </c>
      <c r="E14" s="60">
        <f>E6/273*365</f>
        <v>566.35886051098896</v>
      </c>
      <c r="F14" s="60">
        <f>F6/181*365</f>
        <v>552.71570998922641</v>
      </c>
      <c r="G14" s="60">
        <f>G6/90*365</f>
        <v>566.02954555111114</v>
      </c>
      <c r="H14" s="56">
        <f>H6/4*4</f>
        <v>468</v>
      </c>
      <c r="I14" s="56">
        <v>465.33333333333331</v>
      </c>
      <c r="J14" s="56">
        <v>468</v>
      </c>
      <c r="K14" s="56">
        <v>460</v>
      </c>
      <c r="L14" s="56">
        <f>L6/4*4</f>
        <v>343</v>
      </c>
      <c r="M14" s="56">
        <f>M6/3*4</f>
        <v>321.33333333333331</v>
      </c>
      <c r="N14" s="56">
        <f>N6*2</f>
        <v>288</v>
      </c>
      <c r="O14" s="56">
        <f>O6*4</f>
        <v>264</v>
      </c>
      <c r="P14" s="56">
        <f>+P6</f>
        <v>313</v>
      </c>
    </row>
    <row r="15" spans="1:17" x14ac:dyDescent="0.35">
      <c r="A15" s="28" t="s">
        <v>40</v>
      </c>
      <c r="B15" s="11">
        <f t="shared" ref="B15" si="7">B12</f>
        <v>5278.666666666667</v>
      </c>
      <c r="C15" s="11">
        <f t="shared" ref="C15:H15" si="8">C12</f>
        <v>5261</v>
      </c>
      <c r="D15" s="11">
        <f t="shared" si="8"/>
        <v>4955.55</v>
      </c>
      <c r="E15" s="11">
        <f t="shared" si="8"/>
        <v>4900.9375</v>
      </c>
      <c r="F15" s="11">
        <f t="shared" si="8"/>
        <v>4861.75</v>
      </c>
      <c r="G15" s="11">
        <f t="shared" si="8"/>
        <v>4861.125</v>
      </c>
      <c r="H15" s="54">
        <f t="shared" si="8"/>
        <v>4556.45</v>
      </c>
      <c r="I15" s="54">
        <v>4496.75</v>
      </c>
      <c r="J15" s="54">
        <v>4439</v>
      </c>
      <c r="K15" s="54">
        <v>4380.5</v>
      </c>
      <c r="L15" s="54">
        <f t="shared" ref="L15" si="9">L12</f>
        <v>4151.8</v>
      </c>
      <c r="M15" s="54">
        <f t="shared" ref="M15" si="10">M12</f>
        <v>4109</v>
      </c>
      <c r="N15" s="54">
        <f t="shared" ref="N15:O15" si="11">N12</f>
        <v>4072.6666666666665</v>
      </c>
      <c r="O15" s="54">
        <f t="shared" si="11"/>
        <v>4051</v>
      </c>
      <c r="P15" s="54">
        <f t="shared" ref="P15" si="12">P12</f>
        <v>3909</v>
      </c>
    </row>
    <row r="16" spans="1:17" ht="15" thickBot="1" x14ac:dyDescent="0.4">
      <c r="A16" s="71" t="s">
        <v>41</v>
      </c>
      <c r="B16" s="16">
        <f t="shared" ref="B16" si="13">B14/B15</f>
        <v>0.12912393469526737</v>
      </c>
      <c r="C16" s="16">
        <f t="shared" ref="C16:H16" si="14">C14/C15</f>
        <v>0.13490253226044899</v>
      </c>
      <c r="D16" s="16">
        <f t="shared" si="14"/>
        <v>0.11663690205930724</v>
      </c>
      <c r="E16" s="16">
        <f t="shared" si="14"/>
        <v>0.11556133097208217</v>
      </c>
      <c r="F16" s="16">
        <f t="shared" si="14"/>
        <v>0.11368657581924747</v>
      </c>
      <c r="G16" s="16">
        <f t="shared" si="14"/>
        <v>0.11644003097042581</v>
      </c>
      <c r="H16" s="16">
        <f t="shared" si="14"/>
        <v>0.10271154078284631</v>
      </c>
      <c r="I16" s="16">
        <v>0.10348214451177702</v>
      </c>
      <c r="J16" s="16">
        <v>0.10642915070961928</v>
      </c>
      <c r="K16" s="16">
        <v>0.10501084351101472</v>
      </c>
      <c r="L16" s="16">
        <f>L14/L15</f>
        <v>8.2614769497567311E-2</v>
      </c>
      <c r="M16" s="16">
        <f>M14/M15</f>
        <v>7.820232011032692E-2</v>
      </c>
      <c r="N16" s="16">
        <f>N14/N15</f>
        <v>7.0715338025863481E-2</v>
      </c>
      <c r="O16" s="16">
        <f t="shared" ref="O16:P16" si="15">O14/O15</f>
        <v>6.5169094050851639E-2</v>
      </c>
      <c r="P16" s="16">
        <f t="shared" si="15"/>
        <v>8.0071629572780759E-2</v>
      </c>
    </row>
    <row r="17" spans="1:17" x14ac:dyDescent="0.35">
      <c r="A17" s="34"/>
      <c r="B17" s="67"/>
      <c r="C17" s="67"/>
      <c r="D17" s="67"/>
      <c r="E17" s="67"/>
      <c r="F17" s="62"/>
      <c r="G17" s="62"/>
      <c r="H17" s="36"/>
      <c r="I17" s="36"/>
      <c r="J17" s="36"/>
      <c r="K17" s="36"/>
      <c r="L17" s="36"/>
      <c r="M17" s="36"/>
      <c r="N17" s="36"/>
      <c r="O17" s="36"/>
      <c r="P17" s="35"/>
    </row>
    <row r="18" spans="1:17" x14ac:dyDescent="0.35">
      <c r="B18" s="22"/>
      <c r="C18" s="22"/>
      <c r="D18" s="22"/>
      <c r="E18" s="22"/>
      <c r="F18" s="22"/>
    </row>
    <row r="19" spans="1:17" x14ac:dyDescent="0.35">
      <c r="A19" t="s">
        <v>42</v>
      </c>
      <c r="B19" s="60">
        <v>551</v>
      </c>
      <c r="C19" s="60">
        <v>272</v>
      </c>
      <c r="D19" s="60">
        <v>933</v>
      </c>
      <c r="E19" s="60">
        <v>660</v>
      </c>
      <c r="F19" s="60">
        <v>424</v>
      </c>
      <c r="G19" s="60">
        <v>207</v>
      </c>
      <c r="H19" s="56">
        <v>712</v>
      </c>
      <c r="I19" s="56">
        <v>529</v>
      </c>
      <c r="J19" s="56">
        <v>352</v>
      </c>
      <c r="K19" s="56">
        <v>171</v>
      </c>
      <c r="L19" s="56">
        <v>671</v>
      </c>
      <c r="M19" s="56">
        <f>335+166</f>
        <v>501</v>
      </c>
      <c r="N19" s="56">
        <f>177+158</f>
        <v>335</v>
      </c>
      <c r="O19" s="56">
        <v>177</v>
      </c>
      <c r="P19" s="56">
        <v>630</v>
      </c>
    </row>
    <row r="20" spans="1:17" x14ac:dyDescent="0.35">
      <c r="A20" t="s">
        <v>43</v>
      </c>
      <c r="B20" s="57">
        <f>B19/181*365</f>
        <v>1111.1325966850829</v>
      </c>
      <c r="C20" s="57">
        <f>C19/90*365</f>
        <v>1103.1111111111111</v>
      </c>
      <c r="D20" s="57">
        <f>D19/365*365</f>
        <v>932.99999999999989</v>
      </c>
      <c r="E20" s="57">
        <f>E19/273*365</f>
        <v>882.41758241758237</v>
      </c>
      <c r="F20" s="57">
        <f>F19/181*365</f>
        <v>855.02762430939219</v>
      </c>
      <c r="G20" s="57">
        <f>G19/90*365</f>
        <v>839.49999999999989</v>
      </c>
      <c r="H20" s="57">
        <f>+H19/4*4</f>
        <v>712</v>
      </c>
      <c r="I20" s="57">
        <v>705.33333333333337</v>
      </c>
      <c r="J20" s="57">
        <v>704</v>
      </c>
      <c r="K20" s="57">
        <v>684</v>
      </c>
      <c r="L20" s="57">
        <f>+L19</f>
        <v>671</v>
      </c>
      <c r="M20" s="57">
        <f>+M19/3*4</f>
        <v>668</v>
      </c>
      <c r="N20" s="57">
        <f>+N19*2</f>
        <v>670</v>
      </c>
      <c r="O20" s="57">
        <f>+O19*4</f>
        <v>708</v>
      </c>
      <c r="P20" s="57">
        <f>+P19</f>
        <v>630</v>
      </c>
    </row>
    <row r="21" spans="1:17" x14ac:dyDescent="0.35">
      <c r="B21" s="22"/>
      <c r="C21" s="22"/>
      <c r="D21" s="22"/>
      <c r="E21" s="22"/>
      <c r="F21" s="22"/>
    </row>
    <row r="22" spans="1:17" x14ac:dyDescent="0.35">
      <c r="A22" t="s">
        <v>44</v>
      </c>
      <c r="B22" s="60">
        <v>46055</v>
      </c>
      <c r="C22" s="60">
        <v>45462</v>
      </c>
      <c r="D22" s="60">
        <v>44998</v>
      </c>
      <c r="E22" s="60">
        <v>44428</v>
      </c>
      <c r="F22" s="60">
        <v>44610</v>
      </c>
      <c r="G22" s="60">
        <v>42965</v>
      </c>
      <c r="H22" s="56">
        <v>41876</v>
      </c>
      <c r="I22" s="56">
        <v>40482</v>
      </c>
      <c r="J22" s="56">
        <v>38202</v>
      </c>
      <c r="K22" s="56">
        <v>36797</v>
      </c>
      <c r="L22" s="56">
        <v>35767</v>
      </c>
      <c r="M22" s="56">
        <v>34871</v>
      </c>
      <c r="N22" s="56">
        <v>33816</v>
      </c>
      <c r="O22" s="56">
        <v>33303</v>
      </c>
      <c r="P22" s="56">
        <v>31917</v>
      </c>
    </row>
    <row r="23" spans="1:17" x14ac:dyDescent="0.35">
      <c r="A23" t="s">
        <v>45</v>
      </c>
      <c r="B23" s="60">
        <f>(B22+C22+D22)/3</f>
        <v>45505</v>
      </c>
      <c r="C23" s="60">
        <f>(C22+D22)/2</f>
        <v>45230</v>
      </c>
      <c r="D23" s="60">
        <f>(D22+E22+F22+G22+H22)/5</f>
        <v>43775.4</v>
      </c>
      <c r="E23" s="60">
        <f>(E22+F22+G22+H22)/4</f>
        <v>43469.75</v>
      </c>
      <c r="F23" s="60">
        <f>(F22+G22+H22)/3</f>
        <v>43150.333333333336</v>
      </c>
      <c r="G23" s="60">
        <f>(G22+H22)/2</f>
        <v>42420.5</v>
      </c>
      <c r="H23" s="56">
        <f>AVERAGE(H22:L22)</f>
        <v>38624.800000000003</v>
      </c>
      <c r="I23" s="56">
        <v>37812</v>
      </c>
      <c r="J23" s="56">
        <v>36922</v>
      </c>
      <c r="K23" s="56">
        <v>36282</v>
      </c>
      <c r="L23" s="56">
        <f>AVERAGE(L22:P22)</f>
        <v>33934.800000000003</v>
      </c>
      <c r="M23" s="56">
        <f>AVERAGE(M22:P22)</f>
        <v>33476.75</v>
      </c>
      <c r="N23" s="56">
        <f>AVERAGE(N22:P22)</f>
        <v>33012</v>
      </c>
      <c r="O23" s="56">
        <f>AVERAGE(O22:P22)</f>
        <v>32610</v>
      </c>
      <c r="P23" s="57">
        <v>30314.6</v>
      </c>
    </row>
    <row r="24" spans="1:17" x14ac:dyDescent="0.35">
      <c r="B24" s="22"/>
      <c r="C24" s="22"/>
      <c r="D24" s="22"/>
      <c r="E24" s="22"/>
      <c r="F24" s="22"/>
      <c r="L24" s="18"/>
      <c r="M24" s="18"/>
      <c r="N24" s="18"/>
    </row>
    <row r="25" spans="1:17" ht="15" thickBot="1" x14ac:dyDescent="0.4">
      <c r="A25" s="29" t="s">
        <v>6</v>
      </c>
      <c r="B25" s="20">
        <f t="shared" ref="B25" si="16">+B20/B23</f>
        <v>2.441781335424861E-2</v>
      </c>
      <c r="C25" s="20">
        <f t="shared" ref="C25:H25" si="17">+C20/C23</f>
        <v>2.4388925737588128E-2</v>
      </c>
      <c r="D25" s="20">
        <f t="shared" si="17"/>
        <v>2.1313340369248479E-2</v>
      </c>
      <c r="E25" s="20">
        <f t="shared" si="17"/>
        <v>2.0299578038005334E-2</v>
      </c>
      <c r="F25" s="20">
        <f t="shared" si="17"/>
        <v>1.9815087352961169E-2</v>
      </c>
      <c r="G25" s="20">
        <f t="shared" si="17"/>
        <v>1.9789960042903783E-2</v>
      </c>
      <c r="H25" s="20">
        <f t="shared" si="17"/>
        <v>1.8433752407779457E-2</v>
      </c>
      <c r="I25" s="20">
        <v>1.8653690186536901E-2</v>
      </c>
      <c r="J25" s="20">
        <v>1.9067222793998157E-2</v>
      </c>
      <c r="K25" s="20">
        <v>1.8852323466181577E-2</v>
      </c>
      <c r="L25" s="20">
        <f t="shared" ref="L25:P25" si="18">+L20/L23</f>
        <v>1.9773212159788771E-2</v>
      </c>
      <c r="M25" s="20">
        <f t="shared" si="18"/>
        <v>1.995414728132211E-2</v>
      </c>
      <c r="N25" s="20">
        <f t="shared" si="18"/>
        <v>2.0295650066642433E-2</v>
      </c>
      <c r="O25" s="20">
        <f t="shared" si="18"/>
        <v>2.1711131554737809E-2</v>
      </c>
      <c r="P25" s="20">
        <f t="shared" si="18"/>
        <v>2.0782065407427445E-2</v>
      </c>
    </row>
    <row r="26" spans="1:17" x14ac:dyDescent="0.35">
      <c r="B26" s="22"/>
      <c r="C26" s="22"/>
      <c r="D26" s="22"/>
      <c r="E26" s="22"/>
      <c r="F26" s="22"/>
      <c r="L26" s="18"/>
      <c r="M26" s="18"/>
      <c r="N26" s="18"/>
    </row>
    <row r="27" spans="1:17" x14ac:dyDescent="0.35">
      <c r="B27" s="22"/>
      <c r="C27" s="22"/>
      <c r="D27" s="22"/>
      <c r="E27" s="22"/>
      <c r="F27" s="22"/>
      <c r="L27" s="18"/>
      <c r="M27" s="18"/>
      <c r="N27" s="18"/>
    </row>
    <row r="28" spans="1:17" x14ac:dyDescent="0.35">
      <c r="A28" t="s">
        <v>46</v>
      </c>
      <c r="B28" s="60">
        <v>153</v>
      </c>
      <c r="C28" s="60">
        <v>75</v>
      </c>
      <c r="D28" s="60">
        <v>305</v>
      </c>
      <c r="E28" s="60">
        <v>227</v>
      </c>
      <c r="F28" s="60">
        <v>149</v>
      </c>
      <c r="G28" s="60">
        <v>73</v>
      </c>
      <c r="H28" s="24">
        <v>285</v>
      </c>
      <c r="I28" s="24">
        <v>215</v>
      </c>
      <c r="J28" s="24">
        <v>143</v>
      </c>
      <c r="K28" s="24">
        <v>71</v>
      </c>
      <c r="L28" s="24">
        <v>292</v>
      </c>
      <c r="M28" s="24">
        <f>141+70</f>
        <v>211</v>
      </c>
      <c r="N28" s="24">
        <f>74+67</f>
        <v>141</v>
      </c>
      <c r="O28" s="24">
        <v>74</v>
      </c>
      <c r="P28" s="24">
        <v>284</v>
      </c>
    </row>
    <row r="29" spans="1:17" x14ac:dyDescent="0.35">
      <c r="B29" s="60"/>
      <c r="C29" s="60"/>
      <c r="D29" s="60"/>
      <c r="E29" s="61"/>
      <c r="F29" s="60"/>
      <c r="G29" s="60"/>
      <c r="H29" s="24"/>
      <c r="I29" s="24"/>
      <c r="J29" s="24"/>
      <c r="K29" s="24"/>
      <c r="L29" s="24"/>
      <c r="M29" s="24"/>
      <c r="N29" s="24"/>
      <c r="O29" s="24"/>
      <c r="P29" s="24"/>
      <c r="Q29" s="53"/>
    </row>
    <row r="30" spans="1:17" x14ac:dyDescent="0.35">
      <c r="A30" t="s">
        <v>42</v>
      </c>
      <c r="B30" s="60">
        <f>B19</f>
        <v>551</v>
      </c>
      <c r="C30" s="60">
        <f>C19</f>
        <v>272</v>
      </c>
      <c r="D30" s="60">
        <f>D19</f>
        <v>933</v>
      </c>
      <c r="E30" s="60">
        <v>660</v>
      </c>
      <c r="F30" s="60">
        <f>+F19</f>
        <v>424</v>
      </c>
      <c r="G30" s="60">
        <f>+G19</f>
        <v>207</v>
      </c>
      <c r="H30" s="24">
        <f>+H19</f>
        <v>712</v>
      </c>
      <c r="I30" s="24">
        <v>529</v>
      </c>
      <c r="J30" s="24">
        <v>352</v>
      </c>
      <c r="K30" s="24">
        <v>171</v>
      </c>
      <c r="L30" s="24">
        <v>671</v>
      </c>
      <c r="M30" s="24">
        <v>501</v>
      </c>
      <c r="N30" s="24">
        <v>335</v>
      </c>
      <c r="O30" s="24">
        <v>177</v>
      </c>
      <c r="P30" s="24">
        <v>630</v>
      </c>
      <c r="Q30" s="53"/>
    </row>
    <row r="31" spans="1:17" x14ac:dyDescent="0.35">
      <c r="A31" s="28" t="s">
        <v>47</v>
      </c>
      <c r="B31" s="54">
        <v>88</v>
      </c>
      <c r="C31" s="54">
        <v>47</v>
      </c>
      <c r="D31" s="54">
        <v>194</v>
      </c>
      <c r="E31" s="54">
        <v>160</v>
      </c>
      <c r="F31" s="54">
        <v>107</v>
      </c>
      <c r="G31" s="54">
        <v>65</v>
      </c>
      <c r="H31" s="54">
        <v>187</v>
      </c>
      <c r="I31" s="54">
        <v>134</v>
      </c>
      <c r="J31" s="54">
        <v>84</v>
      </c>
      <c r="K31" s="54">
        <v>41</v>
      </c>
      <c r="L31" s="54">
        <v>163</v>
      </c>
      <c r="M31" s="54">
        <v>112</v>
      </c>
      <c r="N31" s="54">
        <v>63</v>
      </c>
      <c r="O31" s="54">
        <v>28</v>
      </c>
      <c r="P31" s="54">
        <v>126</v>
      </c>
      <c r="Q31" s="53"/>
    </row>
    <row r="32" spans="1:17" x14ac:dyDescent="0.35">
      <c r="A32" s="28" t="s">
        <v>48</v>
      </c>
      <c r="B32" s="54">
        <f t="shared" ref="B32" si="19">SUM(B30:B31)</f>
        <v>639</v>
      </c>
      <c r="C32" s="54">
        <f t="shared" ref="C32:H32" si="20">SUM(C30:C31)</f>
        <v>319</v>
      </c>
      <c r="D32" s="54">
        <f t="shared" si="20"/>
        <v>1127</v>
      </c>
      <c r="E32" s="54">
        <f t="shared" si="20"/>
        <v>820</v>
      </c>
      <c r="F32" s="54">
        <f t="shared" si="20"/>
        <v>531</v>
      </c>
      <c r="G32" s="54">
        <f t="shared" si="20"/>
        <v>272</v>
      </c>
      <c r="H32" s="54">
        <f t="shared" si="20"/>
        <v>899</v>
      </c>
      <c r="I32" s="54">
        <v>663</v>
      </c>
      <c r="J32" s="54">
        <v>436</v>
      </c>
      <c r="K32" s="54">
        <f t="shared" ref="K32:P32" si="21">SUM(K30:K31)</f>
        <v>212</v>
      </c>
      <c r="L32" s="54">
        <f t="shared" si="21"/>
        <v>834</v>
      </c>
      <c r="M32" s="54">
        <f t="shared" si="21"/>
        <v>613</v>
      </c>
      <c r="N32" s="54">
        <f t="shared" si="21"/>
        <v>398</v>
      </c>
      <c r="O32" s="54">
        <f t="shared" si="21"/>
        <v>205</v>
      </c>
      <c r="P32" s="54">
        <f t="shared" si="21"/>
        <v>756</v>
      </c>
    </row>
    <row r="33" spans="1:17" s="3" customFormat="1" ht="15" thickBot="1" x14ac:dyDescent="0.4">
      <c r="A33" s="29" t="s">
        <v>8</v>
      </c>
      <c r="B33" s="26">
        <f t="shared" ref="B33" si="22">B28/B32</f>
        <v>0.23943661971830985</v>
      </c>
      <c r="C33" s="26">
        <f t="shared" ref="C33:H33" si="23">C28/C32</f>
        <v>0.23510971786833856</v>
      </c>
      <c r="D33" s="26">
        <f t="shared" si="23"/>
        <v>0.27062999112688552</v>
      </c>
      <c r="E33" s="26">
        <f t="shared" si="23"/>
        <v>0.27682926829268295</v>
      </c>
      <c r="F33" s="26">
        <f t="shared" si="23"/>
        <v>0.28060263653483991</v>
      </c>
      <c r="G33" s="26">
        <f t="shared" si="23"/>
        <v>0.26838235294117646</v>
      </c>
      <c r="H33" s="26">
        <f t="shared" si="23"/>
        <v>0.31701890989988879</v>
      </c>
      <c r="I33" s="26">
        <v>0.32428355957767724</v>
      </c>
      <c r="J33" s="26">
        <v>0.32798165137614677</v>
      </c>
      <c r="K33" s="26">
        <v>0.33490566037735847</v>
      </c>
      <c r="L33" s="26">
        <f t="shared" ref="L33" si="24">L28/L32</f>
        <v>0.3501199040767386</v>
      </c>
      <c r="M33" s="26">
        <f t="shared" ref="M33" si="25">M28/M32</f>
        <v>0.3442088091353997</v>
      </c>
      <c r="N33" s="26">
        <f t="shared" ref="N33:P33" si="26">N28/N32</f>
        <v>0.35427135678391958</v>
      </c>
      <c r="O33" s="26">
        <f t="shared" si="26"/>
        <v>0.36097560975609755</v>
      </c>
      <c r="P33" s="26">
        <f t="shared" si="26"/>
        <v>0.37566137566137564</v>
      </c>
      <c r="Q33"/>
    </row>
    <row r="34" spans="1:17" x14ac:dyDescent="0.35">
      <c r="B34" s="22"/>
      <c r="C34" s="22"/>
      <c r="D34" s="22"/>
      <c r="F34" s="22"/>
    </row>
    <row r="35" spans="1:17" x14ac:dyDescent="0.35">
      <c r="B35" s="22"/>
      <c r="C35" s="22"/>
      <c r="D35" s="22"/>
      <c r="F35" s="22"/>
    </row>
    <row r="36" spans="1:17" x14ac:dyDescent="0.35">
      <c r="A36" t="s">
        <v>49</v>
      </c>
      <c r="B36" s="60">
        <v>24607</v>
      </c>
      <c r="C36" s="60">
        <v>23863</v>
      </c>
      <c r="D36" s="60">
        <v>23976</v>
      </c>
      <c r="E36" s="60">
        <v>24769</v>
      </c>
      <c r="F36" s="60">
        <v>24912</v>
      </c>
      <c r="G36" s="60">
        <v>23223</v>
      </c>
      <c r="H36" s="24">
        <v>22287</v>
      </c>
      <c r="I36" s="24">
        <v>21233</v>
      </c>
      <c r="J36" s="24">
        <v>19140</v>
      </c>
      <c r="K36" s="24">
        <v>18122</v>
      </c>
      <c r="L36" s="24">
        <v>17627</v>
      </c>
      <c r="M36" s="24">
        <v>17334</v>
      </c>
      <c r="N36" s="24">
        <v>16810</v>
      </c>
      <c r="O36" s="24">
        <v>15953</v>
      </c>
      <c r="P36" s="24">
        <v>15360</v>
      </c>
    </row>
    <row r="37" spans="1:17" x14ac:dyDescent="0.35">
      <c r="A37" s="28" t="s">
        <v>50</v>
      </c>
      <c r="B37" s="11">
        <v>37104</v>
      </c>
      <c r="C37" s="11">
        <v>36106</v>
      </c>
      <c r="D37" s="11">
        <v>36166</v>
      </c>
      <c r="E37" s="11">
        <v>35357</v>
      </c>
      <c r="F37" s="11">
        <v>34833</v>
      </c>
      <c r="G37" s="11">
        <v>33777</v>
      </c>
      <c r="H37" s="54">
        <v>32472</v>
      </c>
      <c r="I37" s="54">
        <v>31092</v>
      </c>
      <c r="J37" s="54">
        <v>30728</v>
      </c>
      <c r="K37" s="54">
        <v>29351</v>
      </c>
      <c r="L37" s="54">
        <v>28069</v>
      </c>
      <c r="M37" s="54">
        <v>27360</v>
      </c>
      <c r="N37" s="54">
        <v>26218</v>
      </c>
      <c r="O37" s="54">
        <v>25612</v>
      </c>
      <c r="P37" s="54">
        <v>25503</v>
      </c>
    </row>
    <row r="38" spans="1:17" ht="15" thickBot="1" x14ac:dyDescent="0.4">
      <c r="A38" s="31" t="s">
        <v>51</v>
      </c>
      <c r="B38" s="26">
        <f t="shared" ref="B38" si="27">B36/B37</f>
        <v>0.66318995256576108</v>
      </c>
      <c r="C38" s="26">
        <f t="shared" ref="C38:H38" si="28">C36/C37</f>
        <v>0.66091508336564564</v>
      </c>
      <c r="D38" s="26">
        <f t="shared" si="28"/>
        <v>0.66294309572526677</v>
      </c>
      <c r="E38" s="26">
        <f t="shared" si="28"/>
        <v>0.70054020420284524</v>
      </c>
      <c r="F38" s="26">
        <f t="shared" si="28"/>
        <v>0.71518387735767808</v>
      </c>
      <c r="G38" s="26">
        <f t="shared" si="28"/>
        <v>0.68753885780264679</v>
      </c>
      <c r="H38" s="26">
        <f t="shared" si="28"/>
        <v>0.68634515890613457</v>
      </c>
      <c r="I38" s="26">
        <v>0.68290878682619327</v>
      </c>
      <c r="J38" s="26">
        <v>0.62288466545170529</v>
      </c>
      <c r="K38" s="26">
        <v>0.61742359715171546</v>
      </c>
      <c r="L38" s="26">
        <f>L36/L37</f>
        <v>0.62798817200470269</v>
      </c>
      <c r="M38" s="26">
        <f>M36/M37</f>
        <v>0.63355263157894737</v>
      </c>
      <c r="N38" s="26">
        <f>N36/N37-0.001</f>
        <v>0.64016256007323213</v>
      </c>
      <c r="O38" s="26">
        <f>O36/O37-0.001</f>
        <v>0.62187209120724662</v>
      </c>
      <c r="P38" s="26">
        <f>P36/P37-0.001</f>
        <v>0.60128208446065168</v>
      </c>
      <c r="Q38" s="59"/>
    </row>
    <row r="39" spans="1:17" x14ac:dyDescent="0.35">
      <c r="B39" s="22"/>
      <c r="C39" s="22"/>
      <c r="D39" s="22"/>
      <c r="E39" s="22"/>
      <c r="F39" s="22"/>
    </row>
    <row r="40" spans="1:17" x14ac:dyDescent="0.35">
      <c r="B40" s="22"/>
      <c r="C40" s="22"/>
      <c r="D40" s="22"/>
      <c r="E40" s="22"/>
      <c r="F40" s="22"/>
    </row>
    <row r="41" spans="1:17" x14ac:dyDescent="0.35">
      <c r="A41" s="22" t="s">
        <v>52</v>
      </c>
      <c r="B41" s="57">
        <v>37278</v>
      </c>
      <c r="C41" s="57">
        <v>36261</v>
      </c>
      <c r="D41" s="57">
        <v>36316</v>
      </c>
      <c r="E41" s="57">
        <v>35492</v>
      </c>
      <c r="F41" s="57">
        <v>34964</v>
      </c>
      <c r="G41" s="57">
        <v>33903</v>
      </c>
      <c r="H41" s="57">
        <v>32583</v>
      </c>
      <c r="I41" s="57">
        <v>31207</v>
      </c>
      <c r="J41" s="57">
        <v>30843</v>
      </c>
      <c r="K41" s="57">
        <v>29474</v>
      </c>
      <c r="L41" s="57">
        <v>28222</v>
      </c>
      <c r="M41" s="57">
        <v>27519</v>
      </c>
      <c r="N41" s="57">
        <v>26406</v>
      </c>
      <c r="O41" s="57">
        <v>25792</v>
      </c>
      <c r="P41" s="57">
        <v>25642</v>
      </c>
    </row>
    <row r="42" spans="1:17" x14ac:dyDescent="0.35">
      <c r="A42" s="32" t="s">
        <v>53</v>
      </c>
      <c r="B42" s="55">
        <f t="shared" ref="B42:G42" si="29">F41</f>
        <v>34964</v>
      </c>
      <c r="C42" s="55">
        <f t="shared" si="29"/>
        <v>33903</v>
      </c>
      <c r="D42" s="55">
        <f t="shared" si="29"/>
        <v>32583</v>
      </c>
      <c r="E42" s="55">
        <f t="shared" si="29"/>
        <v>31207</v>
      </c>
      <c r="F42" s="55">
        <f t="shared" si="29"/>
        <v>30843</v>
      </c>
      <c r="G42" s="55">
        <f t="shared" si="29"/>
        <v>29474</v>
      </c>
      <c r="H42" s="55">
        <f>+L41</f>
        <v>28222</v>
      </c>
      <c r="I42" s="55">
        <v>27519</v>
      </c>
      <c r="J42" s="55">
        <v>26406</v>
      </c>
      <c r="K42" s="55">
        <v>25792</v>
      </c>
      <c r="L42" s="55">
        <v>25642</v>
      </c>
      <c r="M42" s="55">
        <v>25443</v>
      </c>
      <c r="N42" s="55">
        <v>23292</v>
      </c>
      <c r="O42" s="55">
        <v>22318</v>
      </c>
      <c r="P42" s="55">
        <v>22294</v>
      </c>
    </row>
    <row r="43" spans="1:17" x14ac:dyDescent="0.35">
      <c r="A43" s="22" t="s">
        <v>54</v>
      </c>
      <c r="B43" s="60">
        <f t="shared" ref="B43" si="30">B41-B42</f>
        <v>2314</v>
      </c>
      <c r="C43" s="60">
        <f t="shared" ref="C43:H43" si="31">C41-C42</f>
        <v>2358</v>
      </c>
      <c r="D43" s="60">
        <f t="shared" si="31"/>
        <v>3733</v>
      </c>
      <c r="E43" s="60">
        <f t="shared" si="31"/>
        <v>4285</v>
      </c>
      <c r="F43" s="60">
        <f t="shared" si="31"/>
        <v>4121</v>
      </c>
      <c r="G43" s="60">
        <f t="shared" si="31"/>
        <v>4429</v>
      </c>
      <c r="H43" s="24">
        <f t="shared" si="31"/>
        <v>4361</v>
      </c>
      <c r="I43" s="24">
        <v>3688</v>
      </c>
      <c r="J43" s="24">
        <v>4437</v>
      </c>
      <c r="K43" s="24">
        <v>3682</v>
      </c>
      <c r="L43" s="24">
        <f t="shared" ref="L43:P43" si="32">L41-L42</f>
        <v>2580</v>
      </c>
      <c r="M43" s="24">
        <f t="shared" si="32"/>
        <v>2076</v>
      </c>
      <c r="N43" s="24">
        <f t="shared" si="32"/>
        <v>3114</v>
      </c>
      <c r="O43" s="24">
        <f t="shared" si="32"/>
        <v>3474</v>
      </c>
      <c r="P43" s="24">
        <f t="shared" si="32"/>
        <v>3348</v>
      </c>
    </row>
    <row r="44" spans="1:17" x14ac:dyDescent="0.35">
      <c r="A44" s="22"/>
      <c r="B44" s="22"/>
      <c r="C44" s="22"/>
      <c r="D44" s="22"/>
      <c r="E44" s="22"/>
      <c r="F44" s="22"/>
      <c r="L44" s="22"/>
    </row>
    <row r="45" spans="1:17" ht="15" thickBot="1" x14ac:dyDescent="0.4">
      <c r="A45" s="29" t="s">
        <v>55</v>
      </c>
      <c r="B45" s="26">
        <f t="shared" ref="B45" si="33">B43/B42</f>
        <v>6.6182358997826332E-2</v>
      </c>
      <c r="C45" s="26">
        <f t="shared" ref="C45:H45" si="34">C43/C42</f>
        <v>6.9551367135651715E-2</v>
      </c>
      <c r="D45" s="26">
        <f t="shared" si="34"/>
        <v>0.11456894699690022</v>
      </c>
      <c r="E45" s="26">
        <f t="shared" si="34"/>
        <v>0.1373089370974461</v>
      </c>
      <c r="F45" s="26">
        <f t="shared" si="34"/>
        <v>0.13361216483480853</v>
      </c>
      <c r="G45" s="26">
        <f t="shared" si="34"/>
        <v>0.15026803284250526</v>
      </c>
      <c r="H45" s="26">
        <f t="shared" si="34"/>
        <v>0.15452483877825809</v>
      </c>
      <c r="I45" s="26">
        <v>0.13401649769250337</v>
      </c>
      <c r="J45" s="26">
        <v>0.16802999318336742</v>
      </c>
      <c r="K45" s="26">
        <v>0.14275744416873448</v>
      </c>
      <c r="L45" s="26">
        <f t="shared" ref="L45:O45" si="35">L43/L42</f>
        <v>0.10061617658528976</v>
      </c>
      <c r="M45" s="26">
        <f t="shared" si="35"/>
        <v>8.1594151633062134E-2</v>
      </c>
      <c r="N45" s="26">
        <f t="shared" si="35"/>
        <v>0.13369397217928902</v>
      </c>
      <c r="O45" s="26">
        <f t="shared" si="35"/>
        <v>0.15565910923917914</v>
      </c>
      <c r="P45" s="26">
        <f>P43/P42</f>
        <v>0.15017493496007894</v>
      </c>
    </row>
    <row r="46" spans="1:17" x14ac:dyDescent="0.35">
      <c r="B46" s="22"/>
      <c r="C46" s="22"/>
      <c r="D46" s="22"/>
      <c r="E46" s="22"/>
      <c r="F46" s="22"/>
    </row>
    <row r="47" spans="1:17" x14ac:dyDescent="0.35">
      <c r="B47" s="57"/>
      <c r="C47" s="57"/>
      <c r="D47" s="57"/>
      <c r="E47" s="57"/>
      <c r="F47" s="57"/>
      <c r="G47" s="52"/>
      <c r="H47" s="52"/>
      <c r="I47" s="52"/>
      <c r="J47" s="52"/>
    </row>
    <row r="48" spans="1:17" x14ac:dyDescent="0.35">
      <c r="A48" s="22" t="s">
        <v>56</v>
      </c>
      <c r="B48" s="57">
        <v>24607</v>
      </c>
      <c r="C48" s="57">
        <v>23863</v>
      </c>
      <c r="D48" s="57">
        <v>23976</v>
      </c>
      <c r="E48" s="57">
        <f>+E36</f>
        <v>24769</v>
      </c>
      <c r="F48" s="57">
        <f>+F36</f>
        <v>24912</v>
      </c>
      <c r="G48" s="57">
        <f>+G36</f>
        <v>23223</v>
      </c>
      <c r="H48" s="57">
        <f>+H36</f>
        <v>22287</v>
      </c>
      <c r="I48" s="57">
        <v>21233</v>
      </c>
      <c r="J48" s="57">
        <v>19140</v>
      </c>
      <c r="K48" s="57">
        <v>18122</v>
      </c>
      <c r="L48" s="57">
        <f>+L36</f>
        <v>17627</v>
      </c>
      <c r="M48" s="57">
        <f>+M36</f>
        <v>17334</v>
      </c>
      <c r="N48" s="57">
        <f t="shared" ref="N48:P48" si="36">+N36</f>
        <v>16810</v>
      </c>
      <c r="O48" s="57">
        <f>+O36</f>
        <v>15953</v>
      </c>
      <c r="P48" s="57">
        <f t="shared" si="36"/>
        <v>15360</v>
      </c>
    </row>
    <row r="49" spans="1:16" x14ac:dyDescent="0.35">
      <c r="A49" s="32" t="s">
        <v>57</v>
      </c>
      <c r="B49" s="55">
        <f t="shared" ref="B49:G49" si="37">F48</f>
        <v>24912</v>
      </c>
      <c r="C49" s="55">
        <f t="shared" si="37"/>
        <v>23223</v>
      </c>
      <c r="D49" s="55">
        <f t="shared" si="37"/>
        <v>22287</v>
      </c>
      <c r="E49" s="55">
        <f t="shared" si="37"/>
        <v>21233</v>
      </c>
      <c r="F49" s="55">
        <f t="shared" si="37"/>
        <v>19140</v>
      </c>
      <c r="G49" s="55">
        <f t="shared" si="37"/>
        <v>18122</v>
      </c>
      <c r="H49" s="55">
        <f>+L48</f>
        <v>17627</v>
      </c>
      <c r="I49" s="55">
        <v>17334</v>
      </c>
      <c r="J49" s="55">
        <v>16810</v>
      </c>
      <c r="K49" s="55">
        <v>15953</v>
      </c>
      <c r="L49" s="55">
        <f>P48</f>
        <v>15360</v>
      </c>
      <c r="M49" s="55">
        <v>15452</v>
      </c>
      <c r="N49" s="55">
        <v>15468</v>
      </c>
      <c r="O49" s="55">
        <v>15106</v>
      </c>
      <c r="P49" s="54">
        <v>14909</v>
      </c>
    </row>
    <row r="50" spans="1:16" x14ac:dyDescent="0.35">
      <c r="A50" s="22" t="s">
        <v>58</v>
      </c>
      <c r="B50" s="60">
        <f t="shared" ref="B50" si="38">B48-B49</f>
        <v>-305</v>
      </c>
      <c r="C50" s="60">
        <f t="shared" ref="C50:H50" si="39">C48-C49</f>
        <v>640</v>
      </c>
      <c r="D50" s="60">
        <f t="shared" si="39"/>
        <v>1689</v>
      </c>
      <c r="E50" s="60">
        <f t="shared" si="39"/>
        <v>3536</v>
      </c>
      <c r="F50" s="60">
        <f t="shared" si="39"/>
        <v>5772</v>
      </c>
      <c r="G50" s="60">
        <f t="shared" si="39"/>
        <v>5101</v>
      </c>
      <c r="H50" s="24">
        <f t="shared" si="39"/>
        <v>4660</v>
      </c>
      <c r="I50" s="24">
        <v>3899</v>
      </c>
      <c r="J50" s="24">
        <v>2330</v>
      </c>
      <c r="K50" s="24">
        <v>2169</v>
      </c>
      <c r="L50" s="24">
        <f t="shared" ref="L50:P50" si="40">L48-L49</f>
        <v>2267</v>
      </c>
      <c r="M50" s="24">
        <f t="shared" si="40"/>
        <v>1882</v>
      </c>
      <c r="N50" s="24">
        <f t="shared" si="40"/>
        <v>1342</v>
      </c>
      <c r="O50" s="24">
        <f t="shared" si="40"/>
        <v>847</v>
      </c>
      <c r="P50" s="24">
        <f t="shared" si="40"/>
        <v>451</v>
      </c>
    </row>
    <row r="51" spans="1:16" x14ac:dyDescent="0.35">
      <c r="A51" s="22"/>
      <c r="B51" s="22"/>
      <c r="C51" s="22"/>
      <c r="D51" s="22"/>
      <c r="E51" s="22"/>
      <c r="F51" s="22"/>
      <c r="L51" s="22"/>
    </row>
    <row r="52" spans="1:16" ht="15" thickBot="1" x14ac:dyDescent="0.4">
      <c r="A52" s="29" t="s">
        <v>13</v>
      </c>
      <c r="B52" s="26">
        <f t="shared" ref="B52" si="41">B50/B49</f>
        <v>-1.2243095696852922E-2</v>
      </c>
      <c r="C52" s="26">
        <f t="shared" ref="C52:H52" si="42">C50/C49</f>
        <v>2.7558885587564051E-2</v>
      </c>
      <c r="D52" s="26">
        <f t="shared" si="42"/>
        <v>7.578408937945888E-2</v>
      </c>
      <c r="E52" s="26">
        <f t="shared" si="42"/>
        <v>0.16653322658126501</v>
      </c>
      <c r="F52" s="26">
        <f t="shared" si="42"/>
        <v>0.30156739811912225</v>
      </c>
      <c r="G52" s="26">
        <f t="shared" si="42"/>
        <v>0.2814810727292793</v>
      </c>
      <c r="H52" s="26">
        <f t="shared" si="42"/>
        <v>0.26436716400975774</v>
      </c>
      <c r="I52" s="26">
        <v>0.22493365639783086</v>
      </c>
      <c r="J52" s="26">
        <v>0.13860797144556811</v>
      </c>
      <c r="K52" s="26">
        <v>0.13596188804613552</v>
      </c>
      <c r="L52" s="26">
        <f t="shared" ref="L52:P52" si="43">L50/L49</f>
        <v>0.14759114583333333</v>
      </c>
      <c r="M52" s="26">
        <f t="shared" si="43"/>
        <v>0.12179653119337303</v>
      </c>
      <c r="N52" s="26">
        <f t="shared" si="43"/>
        <v>8.6759762089475043E-2</v>
      </c>
      <c r="O52" s="26">
        <f t="shared" si="43"/>
        <v>5.6070435588507876E-2</v>
      </c>
      <c r="P52" s="26">
        <f t="shared" si="43"/>
        <v>3.0250184452344221E-2</v>
      </c>
    </row>
    <row r="53" spans="1:16" x14ac:dyDescent="0.35">
      <c r="B53" s="22"/>
      <c r="C53" s="22"/>
      <c r="D53" s="22"/>
      <c r="E53" s="22"/>
      <c r="F53" s="22"/>
    </row>
    <row r="54" spans="1:16" x14ac:dyDescent="0.35">
      <c r="B54" s="22"/>
      <c r="C54" s="22"/>
      <c r="D54" s="22"/>
      <c r="E54" s="22"/>
      <c r="F54" s="22"/>
    </row>
    <row r="55" spans="1:16" x14ac:dyDescent="0.35">
      <c r="A55" t="s">
        <v>44</v>
      </c>
      <c r="B55" s="57">
        <f t="shared" ref="B55" si="44">+B22</f>
        <v>46055</v>
      </c>
      <c r="C55" s="57">
        <f t="shared" ref="C55:H55" si="45">+C22</f>
        <v>45462</v>
      </c>
      <c r="D55" s="57">
        <f t="shared" si="45"/>
        <v>44998</v>
      </c>
      <c r="E55" s="57">
        <f t="shared" si="45"/>
        <v>44428</v>
      </c>
      <c r="F55" s="57">
        <f t="shared" si="45"/>
        <v>44610</v>
      </c>
      <c r="G55" s="57">
        <f t="shared" si="45"/>
        <v>42965</v>
      </c>
      <c r="H55" s="57">
        <f t="shared" si="45"/>
        <v>41876</v>
      </c>
      <c r="I55" s="57">
        <v>40482</v>
      </c>
      <c r="J55" s="57">
        <v>38202</v>
      </c>
      <c r="K55" s="57">
        <v>36797</v>
      </c>
      <c r="L55" s="57">
        <v>35767</v>
      </c>
      <c r="M55" s="57">
        <v>34871</v>
      </c>
      <c r="N55" s="57">
        <v>33816</v>
      </c>
      <c r="O55" s="57">
        <v>33303</v>
      </c>
      <c r="P55" s="57">
        <v>31917</v>
      </c>
    </row>
    <row r="56" spans="1:16" ht="15" thickBot="1" x14ac:dyDescent="0.4">
      <c r="A56" s="29" t="s">
        <v>59</v>
      </c>
      <c r="B56" s="40">
        <f>(B55+C55+D55)/3</f>
        <v>45505</v>
      </c>
      <c r="C56" s="40">
        <f>(C55+D55)/2</f>
        <v>45230</v>
      </c>
      <c r="D56" s="40">
        <f>(D55+E55+F55+G55+H55)/5</f>
        <v>43775.4</v>
      </c>
      <c r="E56" s="40">
        <f>(E55+F55+G55+H55)/4</f>
        <v>43469.75</v>
      </c>
      <c r="F56" s="40">
        <f>(F55+G55+H55)/3</f>
        <v>43150.333333333336</v>
      </c>
      <c r="G56" s="40">
        <f>AVERAGE(G55:H55)</f>
        <v>42420.5</v>
      </c>
      <c r="H56" s="40">
        <f>AVERAGE(H55:L55)</f>
        <v>38624.800000000003</v>
      </c>
      <c r="I56" s="40">
        <v>37812</v>
      </c>
      <c r="J56" s="40">
        <v>36922</v>
      </c>
      <c r="K56" s="40">
        <f>AVERAGE(K55:L55)</f>
        <v>36282</v>
      </c>
      <c r="L56" s="40">
        <f>AVERAGE(L55:P55)</f>
        <v>33934.800000000003</v>
      </c>
      <c r="M56" s="40">
        <f>AVERAGE(M55:P55)</f>
        <v>33476.75</v>
      </c>
      <c r="N56" s="40">
        <f>AVERAGE(N55:P55)</f>
        <v>33012</v>
      </c>
      <c r="O56" s="40">
        <f>AVERAGE(O55:P55)</f>
        <v>32610</v>
      </c>
      <c r="P56" s="40">
        <v>30315</v>
      </c>
    </row>
    <row r="57" spans="1:16" x14ac:dyDescent="0.35">
      <c r="B57" s="22"/>
      <c r="C57" s="22"/>
      <c r="D57" s="22"/>
      <c r="E57" s="22"/>
      <c r="F57" s="22"/>
    </row>
    <row r="58" spans="1:16" x14ac:dyDescent="0.35">
      <c r="B58" s="57"/>
      <c r="C58" s="57"/>
      <c r="D58" s="57"/>
      <c r="E58" s="57"/>
      <c r="F58" s="57"/>
      <c r="G58" s="52"/>
      <c r="H58" s="52"/>
      <c r="I58" s="52"/>
      <c r="J58" s="52"/>
    </row>
    <row r="59" spans="1:16" x14ac:dyDescent="0.35">
      <c r="A59" t="s">
        <v>60</v>
      </c>
      <c r="B59" s="60">
        <f t="shared" ref="B59" si="46">+B41</f>
        <v>37278</v>
      </c>
      <c r="C59" s="60">
        <f t="shared" ref="C59:H59" si="47">+C41</f>
        <v>36261</v>
      </c>
      <c r="D59" s="60">
        <f t="shared" si="47"/>
        <v>36316</v>
      </c>
      <c r="E59" s="60">
        <f t="shared" si="47"/>
        <v>35492</v>
      </c>
      <c r="F59" s="60">
        <f t="shared" si="47"/>
        <v>34964</v>
      </c>
      <c r="G59" s="60">
        <f t="shared" si="47"/>
        <v>33903</v>
      </c>
      <c r="H59" s="24">
        <f t="shared" si="47"/>
        <v>32583</v>
      </c>
      <c r="I59" s="24">
        <v>31207</v>
      </c>
      <c r="J59" s="24">
        <v>30843</v>
      </c>
      <c r="K59" s="24">
        <v>29474</v>
      </c>
      <c r="L59" s="24">
        <v>28222</v>
      </c>
      <c r="M59" s="24">
        <v>27519</v>
      </c>
      <c r="N59" s="24">
        <v>26406</v>
      </c>
      <c r="O59" s="24">
        <v>25792</v>
      </c>
      <c r="P59" s="24">
        <v>25600</v>
      </c>
    </row>
    <row r="60" spans="1:16" x14ac:dyDescent="0.35">
      <c r="A60" t="s">
        <v>104</v>
      </c>
      <c r="B60" s="60">
        <v>18171</v>
      </c>
      <c r="C60" s="60">
        <v>18199</v>
      </c>
      <c r="D60" s="60">
        <v>17742</v>
      </c>
      <c r="E60" s="60">
        <v>16956</v>
      </c>
      <c r="F60" s="60">
        <v>16705</v>
      </c>
      <c r="G60" s="60">
        <v>16259</v>
      </c>
      <c r="H60" s="24">
        <v>15991</v>
      </c>
      <c r="I60" s="24">
        <v>15299</v>
      </c>
      <c r="J60" s="24">
        <v>14970</v>
      </c>
      <c r="K60" s="24">
        <v>14802</v>
      </c>
      <c r="L60" s="24">
        <v>14489</v>
      </c>
      <c r="M60" s="24">
        <v>14116</v>
      </c>
      <c r="N60" s="24">
        <v>13764</v>
      </c>
      <c r="O60" s="24">
        <v>13873</v>
      </c>
      <c r="P60" s="24">
        <v>12892</v>
      </c>
    </row>
    <row r="61" spans="1:16" x14ac:dyDescent="0.35">
      <c r="A61" t="s">
        <v>105</v>
      </c>
      <c r="B61" s="60">
        <v>3551</v>
      </c>
      <c r="C61" s="60">
        <v>3054</v>
      </c>
      <c r="D61" s="60">
        <v>3061</v>
      </c>
      <c r="E61" s="60">
        <v>3107</v>
      </c>
      <c r="F61" s="60">
        <v>2873</v>
      </c>
      <c r="G61" s="60">
        <v>3231</v>
      </c>
      <c r="H61" s="24">
        <v>3271</v>
      </c>
      <c r="I61" s="24">
        <v>3412</v>
      </c>
      <c r="J61" s="24">
        <v>3629</v>
      </c>
      <c r="K61" s="24">
        <v>3926</v>
      </c>
      <c r="L61" s="24">
        <v>4008</v>
      </c>
      <c r="M61" s="24">
        <v>4123</v>
      </c>
      <c r="N61" s="24">
        <v>4226</v>
      </c>
      <c r="O61" s="24">
        <v>4058</v>
      </c>
      <c r="P61" s="24">
        <v>4086</v>
      </c>
    </row>
    <row r="62" spans="1:16" ht="15" thickBot="1" x14ac:dyDescent="0.4">
      <c r="A62" s="29" t="s">
        <v>19</v>
      </c>
      <c r="B62" s="40">
        <f t="shared" ref="B62" si="48">SUM(B59:B61)</f>
        <v>59000</v>
      </c>
      <c r="C62" s="40">
        <f t="shared" ref="C62:H62" si="49">SUM(C59:C61)</f>
        <v>57514</v>
      </c>
      <c r="D62" s="40">
        <f t="shared" si="49"/>
        <v>57119</v>
      </c>
      <c r="E62" s="40">
        <f t="shared" si="49"/>
        <v>55555</v>
      </c>
      <c r="F62" s="40">
        <f t="shared" si="49"/>
        <v>54542</v>
      </c>
      <c r="G62" s="40">
        <f t="shared" si="49"/>
        <v>53393</v>
      </c>
      <c r="H62" s="40">
        <f t="shared" si="49"/>
        <v>51845</v>
      </c>
      <c r="I62" s="40">
        <v>49918</v>
      </c>
      <c r="J62" s="40">
        <v>49442</v>
      </c>
      <c r="K62" s="40">
        <v>48202</v>
      </c>
      <c r="L62" s="40">
        <f t="shared" ref="L62:P62" si="50">SUM(L59:L61)</f>
        <v>46719</v>
      </c>
      <c r="M62" s="40">
        <f t="shared" si="50"/>
        <v>45758</v>
      </c>
      <c r="N62" s="40">
        <f t="shared" si="50"/>
        <v>44396</v>
      </c>
      <c r="O62" s="40">
        <f t="shared" si="50"/>
        <v>43723</v>
      </c>
      <c r="P62" s="40">
        <f t="shared" si="50"/>
        <v>42578</v>
      </c>
    </row>
    <row r="63" spans="1:16" x14ac:dyDescent="0.35">
      <c r="B63" s="22"/>
      <c r="C63" s="22"/>
      <c r="D63" s="22"/>
      <c r="E63" s="22"/>
      <c r="F63" s="22"/>
    </row>
    <row r="64" spans="1:16" x14ac:dyDescent="0.35">
      <c r="B64" s="22"/>
      <c r="C64" s="22"/>
      <c r="D64" s="22"/>
      <c r="E64" s="22"/>
      <c r="F64" s="22"/>
    </row>
    <row r="65" spans="1:16" ht="29" x14ac:dyDescent="0.35">
      <c r="A65" s="10" t="s">
        <v>61</v>
      </c>
      <c r="B65" s="57">
        <f t="shared" ref="B65" si="51">+B62</f>
        <v>59000</v>
      </c>
      <c r="C65" s="57">
        <f t="shared" ref="C65:H65" si="52">+C62</f>
        <v>57514</v>
      </c>
      <c r="D65" s="57">
        <f t="shared" si="52"/>
        <v>57119</v>
      </c>
      <c r="E65" s="57">
        <f t="shared" si="52"/>
        <v>55555</v>
      </c>
      <c r="F65" s="57">
        <f t="shared" si="52"/>
        <v>54542</v>
      </c>
      <c r="G65" s="57">
        <f t="shared" si="52"/>
        <v>53393</v>
      </c>
      <c r="H65" s="57">
        <f t="shared" si="52"/>
        <v>51845</v>
      </c>
      <c r="I65" s="57">
        <v>49918</v>
      </c>
      <c r="J65" s="57">
        <v>49442</v>
      </c>
      <c r="K65" s="57">
        <v>48202</v>
      </c>
      <c r="L65" s="57">
        <f t="shared" ref="L65:P65" si="53">+L62</f>
        <v>46719</v>
      </c>
      <c r="M65" s="57">
        <f t="shared" si="53"/>
        <v>45758</v>
      </c>
      <c r="N65" s="57">
        <f t="shared" si="53"/>
        <v>44396</v>
      </c>
      <c r="O65" s="57">
        <f t="shared" si="53"/>
        <v>43723</v>
      </c>
      <c r="P65" s="57">
        <f t="shared" si="53"/>
        <v>42578</v>
      </c>
    </row>
    <row r="66" spans="1:16" ht="29" x14ac:dyDescent="0.35">
      <c r="A66" s="12" t="s">
        <v>62</v>
      </c>
      <c r="B66" s="55">
        <f t="shared" ref="B66:H66" si="54">+F65</f>
        <v>54542</v>
      </c>
      <c r="C66" s="55">
        <f t="shared" si="54"/>
        <v>53393</v>
      </c>
      <c r="D66" s="55">
        <f t="shared" si="54"/>
        <v>51845</v>
      </c>
      <c r="E66" s="55">
        <f t="shared" si="54"/>
        <v>49918</v>
      </c>
      <c r="F66" s="55">
        <f t="shared" si="54"/>
        <v>49442</v>
      </c>
      <c r="G66" s="55">
        <f t="shared" si="54"/>
        <v>48202</v>
      </c>
      <c r="H66" s="55">
        <f t="shared" si="54"/>
        <v>46719</v>
      </c>
      <c r="I66" s="55">
        <v>45758</v>
      </c>
      <c r="J66" s="55">
        <v>44396</v>
      </c>
      <c r="K66" s="55">
        <v>43723</v>
      </c>
      <c r="L66" s="55">
        <f>P65</f>
        <v>42578</v>
      </c>
      <c r="M66" s="55">
        <v>42323</v>
      </c>
      <c r="N66" s="55">
        <v>39860</v>
      </c>
      <c r="O66" s="55">
        <v>38508</v>
      </c>
      <c r="P66" s="55">
        <v>38851</v>
      </c>
    </row>
    <row r="67" spans="1:16" x14ac:dyDescent="0.35">
      <c r="A67" t="s">
        <v>63</v>
      </c>
      <c r="B67" s="57">
        <f t="shared" ref="B67" si="55">B65-B66</f>
        <v>4458</v>
      </c>
      <c r="C67" s="57">
        <f t="shared" ref="C67:H67" si="56">C65-C66</f>
        <v>4121</v>
      </c>
      <c r="D67" s="57">
        <f t="shared" si="56"/>
        <v>5274</v>
      </c>
      <c r="E67" s="57">
        <f t="shared" si="56"/>
        <v>5637</v>
      </c>
      <c r="F67" s="57">
        <f t="shared" si="56"/>
        <v>5100</v>
      </c>
      <c r="G67" s="57">
        <f t="shared" si="56"/>
        <v>5191</v>
      </c>
      <c r="H67" s="57">
        <f t="shared" si="56"/>
        <v>5126</v>
      </c>
      <c r="I67" s="57">
        <v>4160</v>
      </c>
      <c r="J67" s="57">
        <v>5046</v>
      </c>
      <c r="K67" s="57">
        <v>4479</v>
      </c>
      <c r="L67" s="57">
        <f t="shared" ref="L67:P67" si="57">L65-L66</f>
        <v>4141</v>
      </c>
      <c r="M67" s="57">
        <f t="shared" si="57"/>
        <v>3435</v>
      </c>
      <c r="N67" s="57">
        <f t="shared" si="57"/>
        <v>4536</v>
      </c>
      <c r="O67" s="57">
        <f t="shared" si="57"/>
        <v>5215</v>
      </c>
      <c r="P67" s="57">
        <f t="shared" si="57"/>
        <v>3727</v>
      </c>
    </row>
    <row r="68" spans="1:16" ht="29" x14ac:dyDescent="0.35">
      <c r="A68" s="12" t="s">
        <v>64</v>
      </c>
      <c r="B68" s="55">
        <f t="shared" ref="B68" si="58">B66</f>
        <v>54542</v>
      </c>
      <c r="C68" s="55">
        <f t="shared" ref="C68:H68" si="59">C66</f>
        <v>53393</v>
      </c>
      <c r="D68" s="55">
        <f t="shared" si="59"/>
        <v>51845</v>
      </c>
      <c r="E68" s="55">
        <f t="shared" si="59"/>
        <v>49918</v>
      </c>
      <c r="F68" s="55">
        <f t="shared" si="59"/>
        <v>49442</v>
      </c>
      <c r="G68" s="55">
        <f t="shared" si="59"/>
        <v>48202</v>
      </c>
      <c r="H68" s="55">
        <f t="shared" si="59"/>
        <v>46719</v>
      </c>
      <c r="I68" s="55">
        <v>45758</v>
      </c>
      <c r="J68" s="55">
        <v>44396</v>
      </c>
      <c r="K68" s="55">
        <v>43723</v>
      </c>
      <c r="L68" s="55">
        <f t="shared" ref="L68:P68" si="60">L66</f>
        <v>42578</v>
      </c>
      <c r="M68" s="55">
        <f t="shared" si="60"/>
        <v>42323</v>
      </c>
      <c r="N68" s="55">
        <f t="shared" si="60"/>
        <v>39860</v>
      </c>
      <c r="O68" s="55">
        <f t="shared" si="60"/>
        <v>38508</v>
      </c>
      <c r="P68" s="55">
        <f t="shared" si="60"/>
        <v>38851</v>
      </c>
    </row>
    <row r="69" spans="1:16" ht="15" thickBot="1" x14ac:dyDescent="0.4">
      <c r="A69" s="30" t="s">
        <v>20</v>
      </c>
      <c r="B69" s="19">
        <f t="shared" ref="B69" si="61">B67/B68</f>
        <v>8.1735176561182205E-2</v>
      </c>
      <c r="C69" s="19">
        <f t="shared" ref="C69:H69" si="62">C67/C68</f>
        <v>7.7182402187552679E-2</v>
      </c>
      <c r="D69" s="19">
        <f t="shared" si="62"/>
        <v>0.10172629954672582</v>
      </c>
      <c r="E69" s="19">
        <f t="shared" si="62"/>
        <v>0.11292519732361073</v>
      </c>
      <c r="F69" s="19">
        <f t="shared" si="62"/>
        <v>0.1031511670239877</v>
      </c>
      <c r="G69" s="19">
        <f t="shared" si="62"/>
        <v>0.10769262686195594</v>
      </c>
      <c r="H69" s="19">
        <f t="shared" si="62"/>
        <v>0.10971981420835206</v>
      </c>
      <c r="I69" s="19">
        <v>9.0913064382184536E-2</v>
      </c>
      <c r="J69" s="19">
        <v>0.11365888818812506</v>
      </c>
      <c r="K69" s="19">
        <v>0.10244036319557212</v>
      </c>
      <c r="L69" s="19">
        <f t="shared" ref="L69:O69" si="63">L67/L68</f>
        <v>9.7256799286016257E-2</v>
      </c>
      <c r="M69" s="19">
        <f t="shared" si="63"/>
        <v>8.1161543368853811E-2</v>
      </c>
      <c r="N69" s="19">
        <f t="shared" si="63"/>
        <v>0.11379829402910185</v>
      </c>
      <c r="O69" s="19">
        <f t="shared" si="63"/>
        <v>0.13542640490287733</v>
      </c>
      <c r="P69" s="19">
        <f>P67/P68+0.001</f>
        <v>9.693060667679082E-2</v>
      </c>
    </row>
    <row r="70" spans="1:16" x14ac:dyDescent="0.35">
      <c r="B70" s="22"/>
      <c r="C70" s="22"/>
      <c r="D70" s="22"/>
      <c r="E70" s="22"/>
      <c r="F70" s="22"/>
    </row>
    <row r="71" spans="1:16" x14ac:dyDescent="0.35">
      <c r="B71" s="22"/>
      <c r="C71" s="22"/>
      <c r="D71" s="22"/>
      <c r="E71" s="22"/>
      <c r="F71" s="22"/>
    </row>
    <row r="72" spans="1:16" ht="29" x14ac:dyDescent="0.35">
      <c r="A72" s="10" t="s">
        <v>61</v>
      </c>
      <c r="B72" s="57">
        <f t="shared" ref="B72" si="64">+B65</f>
        <v>59000</v>
      </c>
      <c r="C72" s="57">
        <f t="shared" ref="C72:H72" si="65">+C65</f>
        <v>57514</v>
      </c>
      <c r="D72" s="57">
        <f t="shared" si="65"/>
        <v>57119</v>
      </c>
      <c r="E72" s="57">
        <f t="shared" si="65"/>
        <v>55555</v>
      </c>
      <c r="F72" s="57">
        <f t="shared" si="65"/>
        <v>54542</v>
      </c>
      <c r="G72" s="57">
        <f t="shared" si="65"/>
        <v>53393</v>
      </c>
      <c r="H72" s="57">
        <f t="shared" si="65"/>
        <v>51845</v>
      </c>
      <c r="I72" s="57">
        <v>49918</v>
      </c>
      <c r="J72" s="57">
        <v>49442</v>
      </c>
      <c r="K72" s="57">
        <v>48202</v>
      </c>
      <c r="L72" s="57">
        <f>+L65</f>
        <v>46719</v>
      </c>
      <c r="M72" s="57">
        <f t="shared" ref="M72:P72" si="66">+M65</f>
        <v>45758</v>
      </c>
      <c r="N72" s="57">
        <f t="shared" si="66"/>
        <v>44396</v>
      </c>
      <c r="O72" s="57">
        <f t="shared" si="66"/>
        <v>43723</v>
      </c>
      <c r="P72" s="57">
        <f t="shared" si="66"/>
        <v>42578</v>
      </c>
    </row>
    <row r="73" spans="1:16" x14ac:dyDescent="0.35">
      <c r="A73" s="12" t="s">
        <v>65</v>
      </c>
      <c r="B73" s="55">
        <f t="shared" ref="B73" si="67">+B41-B37</f>
        <v>174</v>
      </c>
      <c r="C73" s="55">
        <f t="shared" ref="C73:H73" si="68">+C41-C37</f>
        <v>155</v>
      </c>
      <c r="D73" s="55">
        <f t="shared" si="68"/>
        <v>150</v>
      </c>
      <c r="E73" s="55">
        <f t="shared" si="68"/>
        <v>135</v>
      </c>
      <c r="F73" s="55">
        <f t="shared" si="68"/>
        <v>131</v>
      </c>
      <c r="G73" s="55">
        <f t="shared" si="68"/>
        <v>126</v>
      </c>
      <c r="H73" s="55">
        <f t="shared" si="68"/>
        <v>111</v>
      </c>
      <c r="I73" s="55">
        <v>115</v>
      </c>
      <c r="J73" s="55">
        <f t="shared" ref="J73:P73" si="69">+J41-J37</f>
        <v>115</v>
      </c>
      <c r="K73" s="55">
        <f t="shared" si="69"/>
        <v>123</v>
      </c>
      <c r="L73" s="55">
        <f t="shared" si="69"/>
        <v>153</v>
      </c>
      <c r="M73" s="55">
        <f t="shared" si="69"/>
        <v>159</v>
      </c>
      <c r="N73" s="55">
        <f t="shared" si="69"/>
        <v>188</v>
      </c>
      <c r="O73" s="55">
        <f t="shared" si="69"/>
        <v>180</v>
      </c>
      <c r="P73" s="55">
        <f t="shared" si="69"/>
        <v>139</v>
      </c>
    </row>
    <row r="74" spans="1:16" ht="29" x14ac:dyDescent="0.35">
      <c r="A74" s="10" t="s">
        <v>66</v>
      </c>
      <c r="B74" s="57">
        <f t="shared" ref="B74" si="70">+B72-B73</f>
        <v>58826</v>
      </c>
      <c r="C74" s="57">
        <f t="shared" ref="C74:H74" si="71">+C72-C73</f>
        <v>57359</v>
      </c>
      <c r="D74" s="57">
        <f t="shared" si="71"/>
        <v>56969</v>
      </c>
      <c r="E74" s="57">
        <f t="shared" si="71"/>
        <v>55420</v>
      </c>
      <c r="F74" s="57">
        <f t="shared" si="71"/>
        <v>54411</v>
      </c>
      <c r="G74" s="57">
        <f t="shared" si="71"/>
        <v>53267</v>
      </c>
      <c r="H74" s="57">
        <f t="shared" si="71"/>
        <v>51734</v>
      </c>
      <c r="I74" s="57">
        <v>49803</v>
      </c>
      <c r="J74" s="57">
        <f t="shared" ref="J74:P74" si="72">+J72-J73</f>
        <v>49327</v>
      </c>
      <c r="K74" s="57">
        <f t="shared" si="72"/>
        <v>48079</v>
      </c>
      <c r="L74" s="57">
        <f t="shared" si="72"/>
        <v>46566</v>
      </c>
      <c r="M74" s="57">
        <f t="shared" si="72"/>
        <v>45599</v>
      </c>
      <c r="N74" s="57">
        <f t="shared" si="72"/>
        <v>44208</v>
      </c>
      <c r="O74" s="57">
        <f t="shared" si="72"/>
        <v>43543</v>
      </c>
      <c r="P74" s="57">
        <f t="shared" si="72"/>
        <v>42439</v>
      </c>
    </row>
    <row r="75" spans="1:16" x14ac:dyDescent="0.35">
      <c r="A75" s="12" t="s">
        <v>67</v>
      </c>
      <c r="B75" s="55">
        <f t="shared" ref="B75" si="73">+B48</f>
        <v>24607</v>
      </c>
      <c r="C75" s="55">
        <f t="shared" ref="C75:H75" si="74">+C48</f>
        <v>23863</v>
      </c>
      <c r="D75" s="55">
        <f t="shared" si="74"/>
        <v>23976</v>
      </c>
      <c r="E75" s="55">
        <f t="shared" si="74"/>
        <v>24769</v>
      </c>
      <c r="F75" s="55">
        <f t="shared" si="74"/>
        <v>24912</v>
      </c>
      <c r="G75" s="55">
        <f t="shared" si="74"/>
        <v>23223</v>
      </c>
      <c r="H75" s="55">
        <f t="shared" si="74"/>
        <v>22287</v>
      </c>
      <c r="I75" s="55">
        <v>21233</v>
      </c>
      <c r="J75" s="55">
        <v>19140</v>
      </c>
      <c r="K75" s="55">
        <v>18122</v>
      </c>
      <c r="L75" s="55">
        <f t="shared" ref="L75:P75" si="75">+L48</f>
        <v>17627</v>
      </c>
      <c r="M75" s="55">
        <f t="shared" si="75"/>
        <v>17334</v>
      </c>
      <c r="N75" s="55">
        <f t="shared" si="75"/>
        <v>16810</v>
      </c>
      <c r="O75" s="55">
        <f t="shared" si="75"/>
        <v>15953</v>
      </c>
      <c r="P75" s="55">
        <f t="shared" si="75"/>
        <v>15360</v>
      </c>
    </row>
    <row r="76" spans="1:16" ht="29.5" thickBot="1" x14ac:dyDescent="0.4">
      <c r="A76" s="15" t="s">
        <v>68</v>
      </c>
      <c r="B76" s="19">
        <f t="shared" ref="B76" si="76">+B75/B74</f>
        <v>0.41830143133988373</v>
      </c>
      <c r="C76" s="19">
        <f t="shared" ref="C76:H76" si="77">+C75/C74</f>
        <v>0.41602887079621331</v>
      </c>
      <c r="D76" s="19">
        <f t="shared" si="77"/>
        <v>0.42086046797381033</v>
      </c>
      <c r="E76" s="19">
        <f t="shared" si="77"/>
        <v>0.44693251533742329</v>
      </c>
      <c r="F76" s="19">
        <f t="shared" si="77"/>
        <v>0.45784859679109002</v>
      </c>
      <c r="G76" s="19">
        <f t="shared" si="77"/>
        <v>0.43597349203071317</v>
      </c>
      <c r="H76" s="19">
        <f t="shared" si="77"/>
        <v>0.43079986082653576</v>
      </c>
      <c r="I76" s="19">
        <v>0.42633977872818907</v>
      </c>
      <c r="J76" s="19">
        <f t="shared" ref="J76:P76" si="78">+J75/J74</f>
        <v>0.38802278670910456</v>
      </c>
      <c r="K76" s="19">
        <f t="shared" si="78"/>
        <v>0.37692131699910564</v>
      </c>
      <c r="L76" s="19">
        <f t="shared" si="78"/>
        <v>0.37853798909075292</v>
      </c>
      <c r="M76" s="19">
        <f t="shared" si="78"/>
        <v>0.38013991534902081</v>
      </c>
      <c r="N76" s="19">
        <f t="shared" si="78"/>
        <v>0.38024791892870069</v>
      </c>
      <c r="O76" s="19">
        <f t="shared" si="78"/>
        <v>0.36637346990331399</v>
      </c>
      <c r="P76" s="19">
        <f t="shared" si="78"/>
        <v>0.36193124248921982</v>
      </c>
    </row>
    <row r="77" spans="1:16" x14ac:dyDescent="0.35">
      <c r="B77" s="22"/>
      <c r="C77" s="22"/>
      <c r="D77" s="22"/>
      <c r="E77" s="22"/>
      <c r="F77" s="22"/>
    </row>
    <row r="78" spans="1:16" x14ac:dyDescent="0.35">
      <c r="B78" s="22"/>
      <c r="C78" s="22"/>
      <c r="D78" s="22"/>
      <c r="E78" s="22"/>
      <c r="F78" s="22"/>
    </row>
    <row r="79" spans="1:16" x14ac:dyDescent="0.35">
      <c r="A79" t="s">
        <v>69</v>
      </c>
      <c r="B79" s="60">
        <v>22</v>
      </c>
      <c r="C79" s="60">
        <v>4</v>
      </c>
      <c r="D79" s="60">
        <v>42</v>
      </c>
      <c r="E79" s="60">
        <v>24</v>
      </c>
      <c r="F79" s="60">
        <v>15</v>
      </c>
      <c r="G79" s="60">
        <v>16</v>
      </c>
      <c r="H79" s="24">
        <v>-18</v>
      </c>
      <c r="I79" s="24">
        <v>-22</v>
      </c>
      <c r="J79" s="24">
        <v>-21</v>
      </c>
      <c r="K79" s="24">
        <v>-12</v>
      </c>
      <c r="L79" s="24">
        <v>75</v>
      </c>
      <c r="M79" s="24">
        <f>+N79+14</f>
        <v>75</v>
      </c>
      <c r="N79" s="24">
        <f>42+19</f>
        <v>61</v>
      </c>
      <c r="O79" s="24">
        <v>42</v>
      </c>
      <c r="P79" s="24">
        <v>37</v>
      </c>
    </row>
    <row r="80" spans="1:16" x14ac:dyDescent="0.35">
      <c r="B80" s="60"/>
      <c r="C80" s="60"/>
      <c r="D80" s="60"/>
      <c r="E80" s="60"/>
      <c r="F80" s="60"/>
      <c r="G80" s="60"/>
      <c r="H80" s="24"/>
      <c r="I80" s="24"/>
      <c r="J80" s="24"/>
      <c r="K80" s="24"/>
      <c r="L80" s="24"/>
      <c r="M80" s="25"/>
      <c r="N80" s="25"/>
      <c r="O80" s="24"/>
      <c r="P80" s="24"/>
    </row>
    <row r="81" spans="1:17" x14ac:dyDescent="0.35">
      <c r="A81" t="s">
        <v>70</v>
      </c>
      <c r="B81" s="60">
        <f>B79/181*365</f>
        <v>44.364640883977899</v>
      </c>
      <c r="C81" s="60">
        <f>C79/90*365</f>
        <v>16.222222222222221</v>
      </c>
      <c r="D81" s="60">
        <f>D79/365*365</f>
        <v>42</v>
      </c>
      <c r="E81" s="60">
        <f>E79/273*365</f>
        <v>32.087912087912088</v>
      </c>
      <c r="F81" s="60">
        <f>F79/181*365</f>
        <v>30.248618784530386</v>
      </c>
      <c r="G81" s="60">
        <f>G79/90*365</f>
        <v>64.888888888888886</v>
      </c>
      <c r="H81" s="24">
        <f>H79/4*4</f>
        <v>-18</v>
      </c>
      <c r="I81" s="24">
        <v>-29.333333333333332</v>
      </c>
      <c r="J81" s="24">
        <v>-42</v>
      </c>
      <c r="K81" s="24">
        <v>-48</v>
      </c>
      <c r="L81" s="24">
        <f>L79/4*4</f>
        <v>75</v>
      </c>
      <c r="M81" s="24">
        <f>M79/3*4</f>
        <v>100</v>
      </c>
      <c r="N81" s="24">
        <f>N79/2*4</f>
        <v>122</v>
      </c>
      <c r="O81" s="24">
        <f>O79*4</f>
        <v>168</v>
      </c>
      <c r="P81" s="24">
        <f>P79/4*4</f>
        <v>37</v>
      </c>
    </row>
    <row r="82" spans="1:17" x14ac:dyDescent="0.35">
      <c r="A82" s="12" t="s">
        <v>71</v>
      </c>
      <c r="B82" s="60">
        <f>(B59+C59+D59)/3</f>
        <v>36618.333333333336</v>
      </c>
      <c r="C82" s="60">
        <f>(C59+D59)/2</f>
        <v>36288.5</v>
      </c>
      <c r="D82" s="60">
        <f>(D59+E59+F59+G59+H59)/5</f>
        <v>34651.599999999999</v>
      </c>
      <c r="E82" s="60">
        <f>(E59+F59+G59+H59)/4</f>
        <v>34235.5</v>
      </c>
      <c r="F82" s="60">
        <f>(F59+G59+H59)/3</f>
        <v>33816.666666666664</v>
      </c>
      <c r="G82" s="60">
        <f>AVERAGE(G59:H59)</f>
        <v>33243</v>
      </c>
      <c r="H82" s="56">
        <f>AVERAGE(H59:L59)</f>
        <v>30465.8</v>
      </c>
      <c r="I82" s="56">
        <v>29936.5</v>
      </c>
      <c r="J82" s="56">
        <v>29513</v>
      </c>
      <c r="K82" s="54">
        <v>28848</v>
      </c>
      <c r="L82" s="54">
        <f>(L59+N59+M59+O59+P59)/5</f>
        <v>26707.8</v>
      </c>
      <c r="M82" s="54">
        <f>(M59+O59+N59+P59)/4</f>
        <v>26329.25</v>
      </c>
      <c r="N82" s="54">
        <f>(N59+P59+O59)/3</f>
        <v>25932.666666666668</v>
      </c>
      <c r="O82" s="54">
        <f>(O59+P59)/2</f>
        <v>25696</v>
      </c>
      <c r="P82" s="54">
        <v>23798</v>
      </c>
    </row>
    <row r="83" spans="1:17" ht="15" thickBot="1" x14ac:dyDescent="0.4">
      <c r="A83" s="30" t="s">
        <v>72</v>
      </c>
      <c r="B83" s="21">
        <f t="shared" ref="B83:G83" si="79">B81/B82</f>
        <v>1.211541783732499E-3</v>
      </c>
      <c r="C83" s="21">
        <f t="shared" si="79"/>
        <v>4.4703479675991625E-4</v>
      </c>
      <c r="D83" s="21">
        <f t="shared" si="79"/>
        <v>1.2120652437405488E-3</v>
      </c>
      <c r="E83" s="21">
        <f t="shared" si="79"/>
        <v>9.3727014613229217E-4</v>
      </c>
      <c r="F83" s="21">
        <f t="shared" si="79"/>
        <v>8.944884805676803E-4</v>
      </c>
      <c r="G83" s="21">
        <f t="shared" si="79"/>
        <v>1.9519564686968349E-3</v>
      </c>
      <c r="H83" s="21">
        <f t="shared" ref="H83" si="80">H81/H82</f>
        <v>-5.9082643488764448E-4</v>
      </c>
      <c r="I83" s="21">
        <v>-9.798517974156408E-4</v>
      </c>
      <c r="J83" s="21">
        <v>-1.4231016840036595E-3</v>
      </c>
      <c r="K83" s="21">
        <v>-1.6638935108153079E-3</v>
      </c>
      <c r="L83" s="21">
        <f>L81/L82</f>
        <v>2.8081684002426257E-3</v>
      </c>
      <c r="M83" s="21">
        <f t="shared" ref="M83:O83" si="81">M81/M82</f>
        <v>3.7980572936942756E-3</v>
      </c>
      <c r="N83" s="21">
        <f t="shared" si="81"/>
        <v>4.7044911180235995E-3</v>
      </c>
      <c r="O83" s="21">
        <f t="shared" si="81"/>
        <v>6.5379825653798258E-3</v>
      </c>
      <c r="P83" s="21">
        <f>P81/P82</f>
        <v>1.5547525002101016E-3</v>
      </c>
    </row>
    <row r="84" spans="1:17" x14ac:dyDescent="0.35">
      <c r="A84" s="22"/>
      <c r="B84" s="22"/>
      <c r="C84" s="22"/>
      <c r="D84" s="22"/>
      <c r="E84" s="22"/>
      <c r="F84" s="22"/>
    </row>
    <row r="85" spans="1:17" x14ac:dyDescent="0.35">
      <c r="A85" s="22"/>
      <c r="B85" s="22"/>
      <c r="C85" s="22"/>
      <c r="D85" s="22"/>
      <c r="E85" s="22"/>
      <c r="F85" s="22"/>
    </row>
    <row r="86" spans="1:17" x14ac:dyDescent="0.35">
      <c r="A86" s="22" t="s">
        <v>95</v>
      </c>
      <c r="B86" s="60">
        <v>205</v>
      </c>
      <c r="C86" s="60">
        <v>213</v>
      </c>
      <c r="D86" s="60">
        <v>175</v>
      </c>
      <c r="E86" s="60">
        <v>177</v>
      </c>
      <c r="F86" s="60">
        <v>139</v>
      </c>
      <c r="G86" s="60">
        <v>134</v>
      </c>
      <c r="H86" s="24">
        <v>149</v>
      </c>
      <c r="I86" s="24">
        <v>125</v>
      </c>
      <c r="J86" s="24">
        <v>142</v>
      </c>
      <c r="K86" s="24">
        <v>159</v>
      </c>
      <c r="L86" s="24">
        <v>234</v>
      </c>
      <c r="M86" s="24">
        <v>220</v>
      </c>
      <c r="N86" s="24">
        <v>234</v>
      </c>
      <c r="O86" s="24">
        <v>223</v>
      </c>
      <c r="P86" s="24">
        <v>243</v>
      </c>
    </row>
    <row r="87" spans="1:17" s="22" customFormat="1" x14ac:dyDescent="0.35">
      <c r="A87" s="32" t="s">
        <v>73</v>
      </c>
      <c r="B87" s="11">
        <f t="shared" ref="B87" si="82">+B41</f>
        <v>37278</v>
      </c>
      <c r="C87" s="11">
        <f t="shared" ref="C87:H87" si="83">+C41</f>
        <v>36261</v>
      </c>
      <c r="D87" s="11">
        <f t="shared" si="83"/>
        <v>36316</v>
      </c>
      <c r="E87" s="11">
        <f t="shared" si="83"/>
        <v>35492</v>
      </c>
      <c r="F87" s="11">
        <f t="shared" si="83"/>
        <v>34964</v>
      </c>
      <c r="G87" s="11">
        <f t="shared" si="83"/>
        <v>33903</v>
      </c>
      <c r="H87" s="54">
        <f t="shared" si="83"/>
        <v>32583</v>
      </c>
      <c r="I87" s="54">
        <v>31207</v>
      </c>
      <c r="J87" s="54">
        <v>30843</v>
      </c>
      <c r="K87" s="54">
        <v>29474</v>
      </c>
      <c r="L87" s="54">
        <f>+L41</f>
        <v>28222</v>
      </c>
      <c r="M87" s="54">
        <f>+M41</f>
        <v>27519</v>
      </c>
      <c r="N87" s="54">
        <f>+N41</f>
        <v>26406</v>
      </c>
      <c r="O87" s="54">
        <f>+O41</f>
        <v>25792</v>
      </c>
      <c r="P87" s="54">
        <f>+P41</f>
        <v>25642</v>
      </c>
    </row>
    <row r="88" spans="1:17" s="22" customFormat="1" ht="15" thickBot="1" x14ac:dyDescent="0.4">
      <c r="A88" s="68" t="s">
        <v>74</v>
      </c>
      <c r="B88" s="20">
        <f t="shared" ref="B88:G88" si="84">B86/B87</f>
        <v>5.4992220612693817E-3</v>
      </c>
      <c r="C88" s="20">
        <f t="shared" si="84"/>
        <v>5.8740795896417642E-3</v>
      </c>
      <c r="D88" s="20">
        <f t="shared" si="84"/>
        <v>4.8188126445643797E-3</v>
      </c>
      <c r="E88" s="20">
        <f t="shared" si="84"/>
        <v>4.9870393328073932E-3</v>
      </c>
      <c r="F88" s="20">
        <f t="shared" si="84"/>
        <v>3.9755176753231893E-3</v>
      </c>
      <c r="G88" s="20">
        <f t="shared" si="84"/>
        <v>3.9524525853169333E-3</v>
      </c>
      <c r="H88" s="20">
        <f t="shared" ref="H88:P88" si="85">H86/H87</f>
        <v>4.5729368075376727E-3</v>
      </c>
      <c r="I88" s="20">
        <v>4.0055115839395007E-3</v>
      </c>
      <c r="J88" s="20">
        <v>4.6039620011023574E-3</v>
      </c>
      <c r="K88" s="20">
        <f t="shared" si="85"/>
        <v>5.3945850580172355E-3</v>
      </c>
      <c r="L88" s="20">
        <f t="shared" si="85"/>
        <v>8.2914038693218065E-3</v>
      </c>
      <c r="M88" s="20">
        <f t="shared" si="85"/>
        <v>7.9944765434790503E-3</v>
      </c>
      <c r="N88" s="20">
        <f t="shared" si="85"/>
        <v>8.8616223585548746E-3</v>
      </c>
      <c r="O88" s="20">
        <f t="shared" si="85"/>
        <v>8.6460918114143921E-3</v>
      </c>
      <c r="P88" s="20">
        <f t="shared" si="85"/>
        <v>9.4766398876842683E-3</v>
      </c>
    </row>
    <row r="89" spans="1:17" s="22" customFormat="1" x14ac:dyDescent="0.35"/>
    <row r="90" spans="1:17" s="22" customFormat="1" x14ac:dyDescent="0.35"/>
    <row r="91" spans="1:17" s="22" customFormat="1" x14ac:dyDescent="0.35">
      <c r="A91" s="22" t="s">
        <v>69</v>
      </c>
      <c r="B91" s="60">
        <f t="shared" ref="B91" si="86">+B79</f>
        <v>22</v>
      </c>
      <c r="C91" s="60">
        <f t="shared" ref="C91:H91" si="87">+C79</f>
        <v>4</v>
      </c>
      <c r="D91" s="60">
        <f t="shared" si="87"/>
        <v>42</v>
      </c>
      <c r="E91" s="60">
        <f t="shared" si="87"/>
        <v>24</v>
      </c>
      <c r="F91" s="60">
        <f t="shared" si="87"/>
        <v>15</v>
      </c>
      <c r="G91" s="60">
        <f t="shared" si="87"/>
        <v>16</v>
      </c>
      <c r="H91" s="24">
        <f t="shared" si="87"/>
        <v>-18</v>
      </c>
      <c r="I91" s="24">
        <v>-22</v>
      </c>
      <c r="J91" s="24">
        <v>-21</v>
      </c>
      <c r="K91" s="24">
        <v>-12</v>
      </c>
      <c r="L91" s="24">
        <f>+L79</f>
        <v>75</v>
      </c>
      <c r="M91" s="24">
        <f>+M79</f>
        <v>75</v>
      </c>
      <c r="N91" s="24">
        <f>+N79</f>
        <v>61</v>
      </c>
      <c r="O91" s="24">
        <f>+O79</f>
        <v>42</v>
      </c>
      <c r="P91" s="24">
        <f>+P79</f>
        <v>37</v>
      </c>
    </row>
    <row r="92" spans="1:17" s="22" customFormat="1" x14ac:dyDescent="0.35">
      <c r="B92" s="60"/>
      <c r="C92" s="60"/>
      <c r="D92" s="60"/>
      <c r="E92" s="60"/>
      <c r="F92" s="60"/>
      <c r="G92" s="60"/>
      <c r="H92" s="24"/>
      <c r="I92" s="24"/>
      <c r="J92" s="24"/>
      <c r="K92" s="24"/>
      <c r="L92" s="24"/>
      <c r="M92" s="24"/>
      <c r="N92" s="24"/>
      <c r="O92" s="24"/>
      <c r="P92" s="24"/>
    </row>
    <row r="93" spans="1:17" s="22" customFormat="1" x14ac:dyDescent="0.35">
      <c r="A93" s="22" t="s">
        <v>70</v>
      </c>
      <c r="B93" s="60">
        <f>B91/181*365</f>
        <v>44.364640883977899</v>
      </c>
      <c r="C93" s="60">
        <f>C91/90*365</f>
        <v>16.222222222222221</v>
      </c>
      <c r="D93" s="60">
        <f>D91/365*365</f>
        <v>42</v>
      </c>
      <c r="E93" s="60">
        <f>E91/273*365</f>
        <v>32.087912087912088</v>
      </c>
      <c r="F93" s="60">
        <f>F91/181*365</f>
        <v>30.248618784530386</v>
      </c>
      <c r="G93" s="60">
        <f>G91/90*365</f>
        <v>64.888888888888886</v>
      </c>
      <c r="H93" s="24">
        <f>H91/4*4</f>
        <v>-18</v>
      </c>
      <c r="I93" s="24">
        <v>-29.333333333333332</v>
      </c>
      <c r="J93" s="24">
        <v>-42</v>
      </c>
      <c r="K93" s="24">
        <v>-48</v>
      </c>
      <c r="L93" s="24">
        <f>L91/4*4</f>
        <v>75</v>
      </c>
      <c r="M93" s="24">
        <f>M91/3*4</f>
        <v>100</v>
      </c>
      <c r="N93" s="24">
        <f>N91/2*4</f>
        <v>122</v>
      </c>
      <c r="O93" s="24">
        <f>O91*4</f>
        <v>168</v>
      </c>
      <c r="P93" s="24">
        <f>P91/4*4</f>
        <v>37</v>
      </c>
    </row>
    <row r="94" spans="1:17" s="22" customFormat="1" x14ac:dyDescent="0.35">
      <c r="A94" s="69" t="s">
        <v>75</v>
      </c>
      <c r="B94" s="60">
        <f>(B72+C72+D72)/3</f>
        <v>57877.666666666664</v>
      </c>
      <c r="C94" s="60">
        <f>(C72+D72)/2</f>
        <v>57316.5</v>
      </c>
      <c r="D94" s="60">
        <f>(D72+E72+F72+G72+H72)/5</f>
        <v>54490.8</v>
      </c>
      <c r="E94" s="60">
        <f>(E72+F72+G72+H72)/4</f>
        <v>53833.75</v>
      </c>
      <c r="F94" s="60">
        <f>(F72+G72+H72)/3</f>
        <v>53260</v>
      </c>
      <c r="G94" s="60">
        <f>AVERAGE(G72:H72)</f>
        <v>52619</v>
      </c>
      <c r="H94" s="56">
        <f>AVERAGE(H72:L72)</f>
        <v>49225.2</v>
      </c>
      <c r="I94" s="56">
        <v>48570.25</v>
      </c>
      <c r="J94" s="56">
        <v>48121</v>
      </c>
      <c r="K94" s="54">
        <v>47460.5</v>
      </c>
      <c r="L94" s="54">
        <f>(L65+N65+M65+O65+P65)/5</f>
        <v>44634.8</v>
      </c>
      <c r="M94" s="54">
        <f>(M65+O65+N65+P65)/4</f>
        <v>44113.75</v>
      </c>
      <c r="N94" s="54">
        <f>(N65+P65+O65)/3</f>
        <v>43565.666666666664</v>
      </c>
      <c r="O94" s="54">
        <f>(O65+P65)/2</f>
        <v>43150.5</v>
      </c>
      <c r="P94" s="54">
        <v>40432</v>
      </c>
    </row>
    <row r="95" spans="1:17" s="41" customFormat="1" ht="15" thickBot="1" x14ac:dyDescent="0.4">
      <c r="A95" s="70" t="s">
        <v>76</v>
      </c>
      <c r="B95" s="21">
        <f t="shared" ref="B95:G95" si="88">B93/B94</f>
        <v>7.665243510849533E-4</v>
      </c>
      <c r="C95" s="21">
        <f t="shared" si="88"/>
        <v>2.8302883501648256E-4</v>
      </c>
      <c r="D95" s="21">
        <f t="shared" si="88"/>
        <v>7.7077231385848616E-4</v>
      </c>
      <c r="E95" s="21">
        <f t="shared" si="88"/>
        <v>5.9605567302876148E-4</v>
      </c>
      <c r="F95" s="21">
        <f t="shared" si="88"/>
        <v>5.6794252317931627E-4</v>
      </c>
      <c r="G95" s="21">
        <f t="shared" si="88"/>
        <v>1.2331836197740148E-3</v>
      </c>
      <c r="H95" s="21">
        <f t="shared" ref="H95:K95" si="89">H93/H94</f>
        <v>-3.6566636600765464E-4</v>
      </c>
      <c r="I95" s="21">
        <v>-6.0393622296227279E-4</v>
      </c>
      <c r="J95" s="21">
        <v>-8.7279981712765737E-4</v>
      </c>
      <c r="K95" s="21">
        <f t="shared" si="89"/>
        <v>-1.0113673475837801E-3</v>
      </c>
      <c r="L95" s="21">
        <f t="shared" ref="L95" si="90">L93/L94</f>
        <v>1.6803032611325691E-3</v>
      </c>
      <c r="M95" s="21">
        <f t="shared" ref="M95" si="91">M93/M94</f>
        <v>2.2668669065767475E-3</v>
      </c>
      <c r="N95" s="21">
        <f t="shared" ref="N95:P95" si="92">N93/N94</f>
        <v>2.800370322195613E-3</v>
      </c>
      <c r="O95" s="21">
        <f t="shared" si="92"/>
        <v>3.8933500191191297E-3</v>
      </c>
      <c r="P95" s="21">
        <f t="shared" si="92"/>
        <v>9.1511673921646224E-4</v>
      </c>
      <c r="Q95" s="22"/>
    </row>
    <row r="96" spans="1:17" s="22" customFormat="1" x14ac:dyDescent="0.35"/>
    <row r="97" spans="1:17" s="22" customFormat="1" x14ac:dyDescent="0.35"/>
    <row r="98" spans="1:17" s="22" customFormat="1" x14ac:dyDescent="0.35">
      <c r="A98" s="22" t="s">
        <v>95</v>
      </c>
      <c r="B98" s="60">
        <f>B86</f>
        <v>205</v>
      </c>
      <c r="C98" s="60">
        <f>C86</f>
        <v>213</v>
      </c>
      <c r="D98" s="60">
        <f>D86</f>
        <v>175</v>
      </c>
      <c r="E98" s="60">
        <f t="shared" ref="E98:P98" si="93">E86</f>
        <v>177</v>
      </c>
      <c r="F98" s="60">
        <f t="shared" si="93"/>
        <v>139</v>
      </c>
      <c r="G98" s="60">
        <f t="shared" si="93"/>
        <v>134</v>
      </c>
      <c r="H98" s="60">
        <f t="shared" si="93"/>
        <v>149</v>
      </c>
      <c r="I98" s="60">
        <f t="shared" si="93"/>
        <v>125</v>
      </c>
      <c r="J98" s="60">
        <f t="shared" si="93"/>
        <v>142</v>
      </c>
      <c r="K98" s="60">
        <f t="shared" si="93"/>
        <v>159</v>
      </c>
      <c r="L98" s="60">
        <f t="shared" si="93"/>
        <v>234</v>
      </c>
      <c r="M98" s="60">
        <f t="shared" si="93"/>
        <v>220</v>
      </c>
      <c r="N98" s="60">
        <f t="shared" si="93"/>
        <v>234</v>
      </c>
      <c r="O98" s="60">
        <f t="shared" si="93"/>
        <v>223</v>
      </c>
      <c r="P98" s="60">
        <f t="shared" si="93"/>
        <v>243</v>
      </c>
    </row>
    <row r="99" spans="1:17" s="22" customFormat="1" x14ac:dyDescent="0.35">
      <c r="A99" s="32" t="s">
        <v>77</v>
      </c>
      <c r="B99" s="11">
        <f t="shared" ref="B99" si="94">+B65</f>
        <v>59000</v>
      </c>
      <c r="C99" s="11">
        <f t="shared" ref="C99:H99" si="95">+C65</f>
        <v>57514</v>
      </c>
      <c r="D99" s="11">
        <f t="shared" si="95"/>
        <v>57119</v>
      </c>
      <c r="E99" s="11">
        <f t="shared" si="95"/>
        <v>55555</v>
      </c>
      <c r="F99" s="11">
        <f t="shared" si="95"/>
        <v>54542</v>
      </c>
      <c r="G99" s="11">
        <f t="shared" si="95"/>
        <v>53393</v>
      </c>
      <c r="H99" s="54">
        <f t="shared" si="95"/>
        <v>51845</v>
      </c>
      <c r="I99" s="54">
        <v>49918</v>
      </c>
      <c r="J99" s="54">
        <v>49442</v>
      </c>
      <c r="K99" s="54">
        <v>48202</v>
      </c>
      <c r="L99" s="54">
        <f>+L65</f>
        <v>46719</v>
      </c>
      <c r="M99" s="54">
        <f>+M65</f>
        <v>45758</v>
      </c>
      <c r="N99" s="54">
        <f>+N65</f>
        <v>44396</v>
      </c>
      <c r="O99" s="54">
        <f>+O65</f>
        <v>43723</v>
      </c>
      <c r="P99" s="54">
        <f>+P65</f>
        <v>42578</v>
      </c>
    </row>
    <row r="100" spans="1:17" s="22" customFormat="1" ht="29.5" thickBot="1" x14ac:dyDescent="0.4">
      <c r="A100" s="68" t="s">
        <v>78</v>
      </c>
      <c r="B100" s="20">
        <f t="shared" ref="B100:G100" si="96">B98/B99</f>
        <v>3.4745762711864405E-3</v>
      </c>
      <c r="C100" s="20">
        <f t="shared" si="96"/>
        <v>3.7034461174670517E-3</v>
      </c>
      <c r="D100" s="20">
        <f t="shared" si="96"/>
        <v>3.0637791277858505E-3</v>
      </c>
      <c r="E100" s="20">
        <f t="shared" si="96"/>
        <v>3.186031860318603E-3</v>
      </c>
      <c r="F100" s="20">
        <f t="shared" si="96"/>
        <v>2.5484947380000735E-3</v>
      </c>
      <c r="G100" s="20">
        <f t="shared" si="96"/>
        <v>2.5096922817597813E-3</v>
      </c>
      <c r="H100" s="20">
        <f t="shared" ref="H100:K100" si="97">H98/H99</f>
        <v>2.8739512006943774E-3</v>
      </c>
      <c r="I100" s="20">
        <v>2.5041067350454744E-3</v>
      </c>
      <c r="J100" s="20">
        <v>2.8720521014522068E-3</v>
      </c>
      <c r="K100" s="20">
        <f t="shared" si="97"/>
        <v>3.2986183145927556E-3</v>
      </c>
      <c r="L100" s="20">
        <f>L98/L99</f>
        <v>5.0086688499325757E-3</v>
      </c>
      <c r="M100" s="20">
        <f t="shared" ref="M100:P100" si="98">M98/M99</f>
        <v>4.8079024432886057E-3</v>
      </c>
      <c r="N100" s="20">
        <f t="shared" si="98"/>
        <v>5.2707451121722674E-3</v>
      </c>
      <c r="O100" s="20">
        <f t="shared" si="98"/>
        <v>5.1002904649726693E-3</v>
      </c>
      <c r="P100" s="20">
        <f t="shared" si="98"/>
        <v>5.7071727183052277E-3</v>
      </c>
    </row>
    <row r="101" spans="1:17" x14ac:dyDescent="0.35">
      <c r="B101" s="66"/>
      <c r="C101" s="66"/>
      <c r="D101" s="51"/>
      <c r="E101" s="66"/>
      <c r="F101" s="66"/>
      <c r="G101" s="51"/>
      <c r="H101" s="51"/>
      <c r="I101" s="51"/>
      <c r="J101" s="51"/>
      <c r="K101" s="51"/>
      <c r="L101" s="51"/>
      <c r="M101" s="51"/>
      <c r="N101" s="51"/>
      <c r="O101" s="51"/>
    </row>
    <row r="102" spans="1:17" x14ac:dyDescent="0.35">
      <c r="B102" s="22"/>
      <c r="C102" s="22"/>
      <c r="E102" s="22"/>
    </row>
    <row r="103" spans="1:17" x14ac:dyDescent="0.35">
      <c r="A103" t="s">
        <v>79</v>
      </c>
      <c r="B103" s="45">
        <v>3.61</v>
      </c>
      <c r="C103" s="45">
        <v>3.33</v>
      </c>
      <c r="D103" s="45">
        <v>2.04</v>
      </c>
      <c r="E103" s="45">
        <v>1.62</v>
      </c>
      <c r="F103" s="45">
        <v>1.25</v>
      </c>
      <c r="G103" s="45">
        <v>1.17</v>
      </c>
      <c r="H103" s="45">
        <v>0.47</v>
      </c>
      <c r="I103" s="45">
        <v>0.37</v>
      </c>
      <c r="J103" s="45">
        <v>0.36</v>
      </c>
      <c r="K103" s="45">
        <v>0.46</v>
      </c>
      <c r="L103" s="44">
        <v>0.69335999999999998</v>
      </c>
      <c r="M103" s="45">
        <v>0.79801</v>
      </c>
      <c r="N103" s="45">
        <v>1.0606800000000001</v>
      </c>
      <c r="O103" s="45">
        <v>1.6559900000000001</v>
      </c>
      <c r="P103" s="45">
        <v>1.5542800000000001</v>
      </c>
    </row>
    <row r="104" spans="1:17" x14ac:dyDescent="0.35">
      <c r="A104" t="s">
        <v>80</v>
      </c>
      <c r="B104" s="22">
        <v>181</v>
      </c>
      <c r="C104" s="22">
        <v>90</v>
      </c>
      <c r="D104" s="22">
        <v>365</v>
      </c>
      <c r="E104" s="22">
        <v>273</v>
      </c>
      <c r="F104" s="22">
        <v>181</v>
      </c>
      <c r="G104" s="22">
        <v>90</v>
      </c>
      <c r="H104" s="22">
        <v>365</v>
      </c>
      <c r="I104" s="22">
        <v>273</v>
      </c>
      <c r="J104" s="22">
        <v>181</v>
      </c>
      <c r="K104" s="22">
        <v>90</v>
      </c>
      <c r="L104" s="37">
        <v>366</v>
      </c>
      <c r="M104" s="22">
        <v>275</v>
      </c>
      <c r="N104" s="22">
        <v>182</v>
      </c>
      <c r="O104" s="22">
        <v>91</v>
      </c>
      <c r="P104" s="22">
        <v>365</v>
      </c>
    </row>
    <row r="105" spans="1:17" x14ac:dyDescent="0.35">
      <c r="G105" s="22"/>
      <c r="H105" s="22"/>
      <c r="I105" s="22"/>
      <c r="J105" s="22"/>
      <c r="K105" s="22"/>
      <c r="L105" s="37"/>
      <c r="M105" s="22"/>
      <c r="N105" s="22"/>
      <c r="O105" s="22"/>
    </row>
    <row r="106" spans="1:17" s="22" customFormat="1" x14ac:dyDescent="0.35">
      <c r="A106" s="22" t="s">
        <v>81</v>
      </c>
      <c r="B106" s="24">
        <v>17838</v>
      </c>
      <c r="C106" s="24">
        <v>17497</v>
      </c>
      <c r="D106" s="24">
        <v>16516</v>
      </c>
      <c r="E106" s="24">
        <v>16305</v>
      </c>
      <c r="F106" s="24">
        <v>16239</v>
      </c>
      <c r="G106" s="24">
        <v>16138</v>
      </c>
      <c r="H106" s="24">
        <f>18090-H107</f>
        <v>14519</v>
      </c>
      <c r="I106" s="24">
        <v>14514</v>
      </c>
      <c r="J106" s="24">
        <v>14559</v>
      </c>
      <c r="K106" s="24">
        <f>18314-K107</f>
        <v>14394</v>
      </c>
      <c r="L106" s="24">
        <v>12950</v>
      </c>
      <c r="M106" s="24">
        <v>12710</v>
      </c>
      <c r="N106" s="24">
        <v>12550</v>
      </c>
      <c r="O106" s="24">
        <v>12133</v>
      </c>
      <c r="P106" s="24">
        <v>10650</v>
      </c>
    </row>
    <row r="107" spans="1:17" s="22" customFormat="1" x14ac:dyDescent="0.35">
      <c r="A107" s="22" t="s">
        <v>106</v>
      </c>
      <c r="B107" s="24">
        <v>3082</v>
      </c>
      <c r="C107" s="24">
        <v>3056</v>
      </c>
      <c r="D107" s="24">
        <v>3114</v>
      </c>
      <c r="E107" s="24">
        <v>3135</v>
      </c>
      <c r="F107" s="24">
        <v>3211</v>
      </c>
      <c r="G107" s="24">
        <v>3235</v>
      </c>
      <c r="H107" s="24">
        <v>3571</v>
      </c>
      <c r="I107" s="24">
        <v>3725</v>
      </c>
      <c r="J107" s="24">
        <v>3826</v>
      </c>
      <c r="K107" s="24">
        <v>3920</v>
      </c>
      <c r="L107" s="24">
        <v>4079</v>
      </c>
      <c r="M107" s="24">
        <v>4125</v>
      </c>
      <c r="N107" s="24">
        <v>4121</v>
      </c>
      <c r="O107" s="24">
        <v>4067</v>
      </c>
      <c r="P107" s="24">
        <v>4313</v>
      </c>
    </row>
    <row r="108" spans="1:17" s="22" customFormat="1" x14ac:dyDescent="0.35">
      <c r="A108" s="22" t="s">
        <v>82</v>
      </c>
      <c r="B108" s="24">
        <f>560</f>
        <v>560</v>
      </c>
      <c r="C108" s="24">
        <v>265.5</v>
      </c>
      <c r="D108" s="24">
        <v>768</v>
      </c>
      <c r="E108" s="24">
        <v>517</v>
      </c>
      <c r="F108" s="24">
        <v>327</v>
      </c>
      <c r="G108" s="24">
        <f>158.353-1</f>
        <v>157.35300000000001</v>
      </c>
      <c r="H108" s="24">
        <f>497-6</f>
        <v>491</v>
      </c>
      <c r="I108" s="24">
        <v>362.3</v>
      </c>
      <c r="J108" s="24">
        <v>241.89999999999998</v>
      </c>
      <c r="K108" s="24">
        <v>121.5</v>
      </c>
      <c r="L108" s="48">
        <v>492.95800000000003</v>
      </c>
      <c r="M108" s="24">
        <v>380.67900000000003</v>
      </c>
      <c r="N108" s="24">
        <v>269.61900000000003</v>
      </c>
      <c r="O108" s="24">
        <f>143.172-2</f>
        <v>141.172</v>
      </c>
      <c r="P108" s="24">
        <v>466.428</v>
      </c>
    </row>
    <row r="109" spans="1:17" s="22" customFormat="1" x14ac:dyDescent="0.35">
      <c r="A109" s="22" t="s">
        <v>107</v>
      </c>
      <c r="B109" s="24">
        <v>92</v>
      </c>
      <c r="C109" s="24">
        <v>44</v>
      </c>
      <c r="D109" s="24">
        <v>133</v>
      </c>
      <c r="E109" s="24">
        <v>91</v>
      </c>
      <c r="F109" s="24">
        <v>58</v>
      </c>
      <c r="G109" s="24">
        <v>29</v>
      </c>
      <c r="H109" s="24">
        <v>109</v>
      </c>
      <c r="I109" s="24">
        <v>83</v>
      </c>
      <c r="J109" s="24">
        <v>57.6</v>
      </c>
      <c r="K109" s="24">
        <v>30</v>
      </c>
      <c r="L109" s="48">
        <v>144</v>
      </c>
      <c r="M109" s="24">
        <v>115</v>
      </c>
      <c r="N109" s="24">
        <v>83.8</v>
      </c>
      <c r="O109" s="24">
        <v>45.5</v>
      </c>
      <c r="P109" s="24">
        <v>176.833</v>
      </c>
    </row>
    <row r="110" spans="1:17" s="22" customFormat="1" x14ac:dyDescent="0.35">
      <c r="A110" s="32" t="s">
        <v>83</v>
      </c>
      <c r="B110" s="54">
        <f t="shared" ref="B110" si="99">+(B106+B107)*B103%*B104/365</f>
        <v>374.50238904109591</v>
      </c>
      <c r="C110" s="54">
        <f t="shared" ref="C110:H110" si="100">+(C106+C107)*C103%*C104/365</f>
        <v>168.75983835616441</v>
      </c>
      <c r="D110" s="54">
        <f t="shared" si="100"/>
        <v>400.45200000000006</v>
      </c>
      <c r="E110" s="54">
        <f t="shared" si="100"/>
        <v>235.5488876712329</v>
      </c>
      <c r="F110" s="54">
        <f t="shared" si="100"/>
        <v>120.56335616438356</v>
      </c>
      <c r="G110" s="49">
        <f t="shared" si="100"/>
        <v>55.889778082191775</v>
      </c>
      <c r="H110" s="49">
        <f t="shared" si="100"/>
        <v>85.022999999999982</v>
      </c>
      <c r="I110" s="49">
        <v>50.47455863013699</v>
      </c>
      <c r="J110" s="49">
        <v>32.821002739726026</v>
      </c>
      <c r="K110" s="49">
        <f>+(K106+K107)*K103%*K104/365</f>
        <v>20.772591780821919</v>
      </c>
      <c r="L110" s="49">
        <f>+(L106+L107)*L103%*L104/366</f>
        <v>118.0722744</v>
      </c>
      <c r="M110" s="49">
        <f t="shared" ref="M110:N110" si="101">+(M106+M107)*M103%*M104/366</f>
        <v>100.94226902322406</v>
      </c>
      <c r="N110" s="49">
        <f t="shared" si="101"/>
        <v>87.929850354098363</v>
      </c>
      <c r="O110" s="49">
        <f>+(O106+O107)*O103%*O104/366</f>
        <v>66.701105409836075</v>
      </c>
      <c r="P110" s="49">
        <f>+(P106+P107)*P103%*P104/365</f>
        <v>232.5669164</v>
      </c>
    </row>
    <row r="111" spans="1:17" s="22" customFormat="1" x14ac:dyDescent="0.35">
      <c r="A111" s="22" t="s">
        <v>84</v>
      </c>
      <c r="B111" s="60">
        <f t="shared" ref="B111" si="102">+B109+B108-B110</f>
        <v>277.49761095890409</v>
      </c>
      <c r="C111" s="60">
        <f t="shared" ref="C111:H111" si="103">+C109+C108-C110</f>
        <v>140.74016164383559</v>
      </c>
      <c r="D111" s="60">
        <f t="shared" si="103"/>
        <v>500.54799999999994</v>
      </c>
      <c r="E111" s="60">
        <f t="shared" si="103"/>
        <v>372.45111232876707</v>
      </c>
      <c r="F111" s="60">
        <f t="shared" si="103"/>
        <v>264.43664383561645</v>
      </c>
      <c r="G111" s="63">
        <f t="shared" si="103"/>
        <v>130.46322191780823</v>
      </c>
      <c r="H111" s="48">
        <f t="shared" si="103"/>
        <v>514.97699999999998</v>
      </c>
      <c r="I111" s="48">
        <v>394.82544136986303</v>
      </c>
      <c r="J111" s="48">
        <v>266.67899726027395</v>
      </c>
      <c r="K111" s="48">
        <f>+K109+K108-K110</f>
        <v>130.72740821917807</v>
      </c>
      <c r="L111" s="48">
        <f>+L109+L108-L110</f>
        <v>518.88572560000011</v>
      </c>
      <c r="M111" s="48">
        <f t="shared" ref="M111:P111" si="104">+M109+M108-M110</f>
        <v>394.73673097677596</v>
      </c>
      <c r="N111" s="48">
        <f t="shared" si="104"/>
        <v>265.48914964590165</v>
      </c>
      <c r="O111" s="48">
        <f>+O109+O108-O110</f>
        <v>119.97089459016392</v>
      </c>
      <c r="P111" s="48">
        <f t="shared" si="104"/>
        <v>410.6940836</v>
      </c>
    </row>
    <row r="112" spans="1:17" s="41" customFormat="1" ht="15" thickBot="1" x14ac:dyDescent="0.4">
      <c r="A112" s="14" t="s">
        <v>85</v>
      </c>
      <c r="B112" s="20">
        <f t="shared" ref="B112" si="105">+B111*(365/B104)/(B106+B107)</f>
        <v>2.6749265288444266E-2</v>
      </c>
      <c r="C112" s="20">
        <f t="shared" ref="C112:H112" si="106">+C111*(365/C104)/(C106+C107)</f>
        <v>2.7771106137519794E-2</v>
      </c>
      <c r="D112" s="20">
        <f t="shared" si="106"/>
        <v>2.5499133978604174E-2</v>
      </c>
      <c r="E112" s="20">
        <f t="shared" si="106"/>
        <v>2.5615523297004773E-2</v>
      </c>
      <c r="F112" s="20">
        <f t="shared" si="106"/>
        <v>2.7416772003579087E-2</v>
      </c>
      <c r="G112" s="20">
        <f t="shared" si="106"/>
        <v>2.7311249906800415E-2</v>
      </c>
      <c r="H112" s="20">
        <f t="shared" si="106"/>
        <v>2.8467495854063017E-2</v>
      </c>
      <c r="I112" s="20">
        <v>2.8942385485194847E-2</v>
      </c>
      <c r="J112" s="20">
        <v>2.9250915876953498E-2</v>
      </c>
      <c r="K112" s="20">
        <f>+K111*(365/K104)/(K106+K107)</f>
        <v>2.894901532525208E-2</v>
      </c>
      <c r="L112" s="20">
        <f>+L111*(366/L104)/(L106+L107)</f>
        <v>3.047071029420401E-2</v>
      </c>
      <c r="M112" s="20">
        <f t="shared" ref="M112:O112" si="107">+M111*(366/M104)/(M106+M107)</f>
        <v>3.1206338210438209E-2</v>
      </c>
      <c r="N112" s="20">
        <f t="shared" si="107"/>
        <v>3.2025419139507245E-2</v>
      </c>
      <c r="O112" s="20">
        <f t="shared" si="107"/>
        <v>2.9785203785103784E-2</v>
      </c>
      <c r="P112" s="20">
        <f>+P111*(365/P104)/(P106+P107)</f>
        <v>2.7447308935373921E-2</v>
      </c>
      <c r="Q112" s="22"/>
    </row>
    <row r="113" spans="1:17" s="22" customFormat="1" hidden="1" x14ac:dyDescent="0.35">
      <c r="B113" s="64"/>
      <c r="C113" s="50"/>
      <c r="D113" s="64"/>
      <c r="E113" s="64"/>
      <c r="F113" s="64"/>
      <c r="G113" s="50"/>
      <c r="H113" s="50">
        <f>+(H108+H109)*(365/H104)/(H106+H107)</f>
        <v>3.316749585406302E-2</v>
      </c>
      <c r="I113" s="50">
        <v>3.2642385485194846E-2</v>
      </c>
      <c r="J113" s="50">
        <v>3.2850915876953497E-2</v>
      </c>
      <c r="K113" s="50">
        <f>+(K108+K109)*(365/K104)/(K106+K107)</f>
        <v>3.3549015325252084E-2</v>
      </c>
      <c r="L113" s="46"/>
      <c r="M113" s="47"/>
      <c r="N113" s="47"/>
      <c r="O113" s="47"/>
      <c r="P113" s="47"/>
    </row>
    <row r="114" spans="1:17" s="22" customFormat="1" hidden="1" x14ac:dyDescent="0.35">
      <c r="B114" s="64"/>
      <c r="C114" s="50"/>
      <c r="D114" s="64"/>
      <c r="E114" s="64"/>
      <c r="F114" s="64"/>
      <c r="G114" s="50"/>
      <c r="H114" s="50">
        <f>+(H108)*(365/H104)/(H106)</f>
        <v>3.3817756043804673E-2</v>
      </c>
      <c r="I114" s="50">
        <v>3.3374243688423101E-2</v>
      </c>
      <c r="J114" s="50">
        <v>3.3505693541121873E-2</v>
      </c>
      <c r="K114" s="50">
        <f>+(K108)*(365/K104)/(K106)</f>
        <v>3.4233013755731553E-2</v>
      </c>
      <c r="L114" s="46"/>
      <c r="M114" s="47"/>
      <c r="N114" s="47"/>
      <c r="O114" s="47"/>
      <c r="P114" s="47"/>
    </row>
    <row r="115" spans="1:17" s="22" customFormat="1" hidden="1" x14ac:dyDescent="0.35">
      <c r="B115" s="64"/>
      <c r="C115" s="50"/>
      <c r="D115" s="64"/>
      <c r="E115" s="64"/>
      <c r="F115" s="64"/>
      <c r="G115" s="50"/>
      <c r="H115" s="50">
        <f>+(H109)*(365/H104)/(H107)</f>
        <v>3.0523662839540746E-2</v>
      </c>
      <c r="I115" s="50">
        <v>2.9790790864616366E-2</v>
      </c>
      <c r="J115" s="50">
        <v>3.0359303746104731E-2</v>
      </c>
      <c r="K115" s="50">
        <f>+(K109)*(365/K104)/(K107)</f>
        <v>3.1037414965986391E-2</v>
      </c>
      <c r="L115" s="46"/>
      <c r="M115" s="47"/>
      <c r="N115" s="47"/>
      <c r="O115" s="47"/>
      <c r="P115" s="47"/>
    </row>
    <row r="116" spans="1:17" s="22" customFormat="1" x14ac:dyDescent="0.35">
      <c r="B116" s="17"/>
      <c r="D116" s="17"/>
      <c r="E116" s="17"/>
      <c r="F116" s="17"/>
      <c r="L116" s="37"/>
    </row>
    <row r="117" spans="1:17" s="22" customFormat="1" x14ac:dyDescent="0.35">
      <c r="B117" s="17"/>
      <c r="D117" s="17"/>
      <c r="E117" s="17"/>
      <c r="F117" s="17"/>
      <c r="L117" s="37"/>
    </row>
    <row r="118" spans="1:17" s="22" customFormat="1" x14ac:dyDescent="0.35">
      <c r="A118" s="22" t="s">
        <v>86</v>
      </c>
      <c r="B118" s="24">
        <v>18570</v>
      </c>
      <c r="C118" s="24">
        <v>18605</v>
      </c>
      <c r="D118" s="24">
        <v>18257</v>
      </c>
      <c r="E118" s="24">
        <v>18038</v>
      </c>
      <c r="F118" s="24">
        <v>17567</v>
      </c>
      <c r="G118" s="24">
        <v>17450</v>
      </c>
      <c r="H118" s="24">
        <f>30997-H119</f>
        <v>16026</v>
      </c>
      <c r="I118" s="24">
        <v>15322</v>
      </c>
      <c r="J118" s="24">
        <v>15020</v>
      </c>
      <c r="K118" s="24">
        <f>29379-K119</f>
        <v>14834</v>
      </c>
      <c r="L118" s="24">
        <v>13500</v>
      </c>
      <c r="M118" s="24">
        <v>13090</v>
      </c>
      <c r="N118" s="24">
        <v>13125</v>
      </c>
      <c r="O118" s="24">
        <v>13701</v>
      </c>
      <c r="P118" s="24">
        <v>12910</v>
      </c>
    </row>
    <row r="119" spans="1:17" s="22" customFormat="1" x14ac:dyDescent="0.35">
      <c r="A119" s="22" t="s">
        <v>108</v>
      </c>
      <c r="B119" s="24">
        <v>17976</v>
      </c>
      <c r="C119" s="24">
        <v>17768</v>
      </c>
      <c r="D119" s="24">
        <v>16567</v>
      </c>
      <c r="E119" s="24">
        <v>16379</v>
      </c>
      <c r="F119" s="24">
        <v>16186</v>
      </c>
      <c r="G119" s="24">
        <v>16084</v>
      </c>
      <c r="H119" s="24">
        <v>14971</v>
      </c>
      <c r="I119" s="24">
        <v>14794</v>
      </c>
      <c r="J119" s="24">
        <v>14811</v>
      </c>
      <c r="K119" s="24">
        <v>14545</v>
      </c>
      <c r="L119" s="24">
        <v>13765</v>
      </c>
      <c r="M119" s="24">
        <v>13622</v>
      </c>
      <c r="N119" s="24">
        <v>13458</v>
      </c>
      <c r="O119" s="24">
        <v>13034</v>
      </c>
      <c r="P119" s="24">
        <v>12210</v>
      </c>
    </row>
    <row r="120" spans="1:17" s="22" customFormat="1" x14ac:dyDescent="0.35">
      <c r="A120" s="22" t="s">
        <v>87</v>
      </c>
      <c r="B120" s="24">
        <v>423</v>
      </c>
      <c r="C120" s="24">
        <v>210</v>
      </c>
      <c r="D120" s="24">
        <v>575</v>
      </c>
      <c r="E120" s="24">
        <v>388</v>
      </c>
      <c r="F120" s="24">
        <v>240</v>
      </c>
      <c r="G120" s="24">
        <f>113.334+2</f>
        <v>115.334</v>
      </c>
      <c r="H120" s="24">
        <f>391+6</f>
        <v>397</v>
      </c>
      <c r="I120" s="24">
        <v>290.7</v>
      </c>
      <c r="J120" s="24">
        <v>191</v>
      </c>
      <c r="K120" s="24">
        <f>92.3+2</f>
        <v>94.3</v>
      </c>
      <c r="L120" s="48">
        <v>412.38</v>
      </c>
      <c r="M120" s="24">
        <v>317.82299999999998</v>
      </c>
      <c r="N120" s="24">
        <f>225.46-2.9</f>
        <v>222.56</v>
      </c>
      <c r="O120" s="24">
        <f>123.177+2</f>
        <v>125.17700000000001</v>
      </c>
      <c r="P120" s="24">
        <v>446.20400000000001</v>
      </c>
    </row>
    <row r="121" spans="1:17" s="22" customFormat="1" x14ac:dyDescent="0.35">
      <c r="A121" s="22" t="s">
        <v>109</v>
      </c>
      <c r="B121" s="24">
        <v>390</v>
      </c>
      <c r="C121" s="24">
        <v>186</v>
      </c>
      <c r="D121" s="24">
        <v>454</v>
      </c>
      <c r="E121" s="24">
        <v>297</v>
      </c>
      <c r="F121" s="24">
        <v>183</v>
      </c>
      <c r="G121" s="24">
        <v>87</v>
      </c>
      <c r="H121" s="24">
        <v>290</v>
      </c>
      <c r="I121" s="24">
        <v>212</v>
      </c>
      <c r="J121" s="24">
        <v>139.69999999999999</v>
      </c>
      <c r="K121" s="24">
        <v>69.3</v>
      </c>
      <c r="L121" s="48">
        <v>323.60000000000002</v>
      </c>
      <c r="M121" s="24">
        <v>254.3</v>
      </c>
      <c r="N121" s="24">
        <v>185.2</v>
      </c>
      <c r="O121" s="24">
        <v>100.78</v>
      </c>
      <c r="P121" s="24">
        <v>346.76</v>
      </c>
    </row>
    <row r="122" spans="1:17" s="22" customFormat="1" x14ac:dyDescent="0.35">
      <c r="A122" s="32" t="s">
        <v>83</v>
      </c>
      <c r="B122" s="54">
        <f t="shared" ref="B122" si="108">+(B118+B119)*B103%*B104/365</f>
        <v>654.23347561643834</v>
      </c>
      <c r="C122" s="54">
        <f t="shared" ref="C122:H122" si="109">+(C118+C119)*C103%*C104/365</f>
        <v>298.65720821917813</v>
      </c>
      <c r="D122" s="54">
        <f t="shared" si="109"/>
        <v>710.40960000000007</v>
      </c>
      <c r="E122" s="54">
        <f t="shared" si="109"/>
        <v>417.02088821917812</v>
      </c>
      <c r="F122" s="54">
        <f t="shared" si="109"/>
        <v>209.22236301369864</v>
      </c>
      <c r="G122" s="49">
        <f t="shared" si="109"/>
        <v>96.74329315068492</v>
      </c>
      <c r="H122" s="49">
        <f t="shared" si="109"/>
        <v>145.68589999999998</v>
      </c>
      <c r="I122" s="49">
        <v>83.342935890410956</v>
      </c>
      <c r="J122" s="49">
        <v>53.25446465753425</v>
      </c>
      <c r="K122" s="49">
        <f>+(K118+K119)*K103%*K104/365</f>
        <v>33.323030136986297</v>
      </c>
      <c r="L122" s="49">
        <f>+(L118+L119)*L103%*L104/366</f>
        <v>189.04460400000002</v>
      </c>
      <c r="M122" s="49">
        <f t="shared" ref="M122:O122" si="110">+(M118+M119)*M103%*M104/366</f>
        <v>160.16453163934429</v>
      </c>
      <c r="N122" s="49">
        <f t="shared" si="110"/>
        <v>140.2098981442623</v>
      </c>
      <c r="O122" s="49">
        <f t="shared" si="110"/>
        <v>110.07741068715848</v>
      </c>
      <c r="P122" s="49">
        <f>+(P118+P119)*P103%*P104/365</f>
        <v>390.435136</v>
      </c>
    </row>
    <row r="123" spans="1:17" s="22" customFormat="1" x14ac:dyDescent="0.35">
      <c r="A123" s="22" t="s">
        <v>84</v>
      </c>
      <c r="B123" s="60">
        <f t="shared" ref="B123:G123" si="111">+B121+B120-B122</f>
        <v>158.76652438356166</v>
      </c>
      <c r="C123" s="60">
        <f t="shared" si="111"/>
        <v>97.342791780821869</v>
      </c>
      <c r="D123" s="60">
        <f t="shared" si="111"/>
        <v>318.59039999999993</v>
      </c>
      <c r="E123" s="60">
        <f t="shared" si="111"/>
        <v>267.97911178082188</v>
      </c>
      <c r="F123" s="60">
        <f t="shared" si="111"/>
        <v>213.77763698630136</v>
      </c>
      <c r="G123" s="63">
        <f t="shared" si="111"/>
        <v>105.59070684931508</v>
      </c>
      <c r="H123" s="48">
        <f t="shared" ref="H123:K123" si="112">+H121+H120-H122</f>
        <v>541.31410000000005</v>
      </c>
      <c r="I123" s="48">
        <v>419.35706410958903</v>
      </c>
      <c r="J123" s="48">
        <v>277.44553534246575</v>
      </c>
      <c r="K123" s="48">
        <f t="shared" si="112"/>
        <v>130.2769698630137</v>
      </c>
      <c r="L123" s="48">
        <f>+L121+L120-L122</f>
        <v>546.93539599999997</v>
      </c>
      <c r="M123" s="48">
        <f t="shared" ref="M123:P123" si="113">+M121+M120-M122</f>
        <v>411.95846836065573</v>
      </c>
      <c r="N123" s="48">
        <f t="shared" si="113"/>
        <v>267.55010185573769</v>
      </c>
      <c r="O123" s="48">
        <f t="shared" si="113"/>
        <v>115.87958931284152</v>
      </c>
      <c r="P123" s="48">
        <f t="shared" si="113"/>
        <v>402.52886399999994</v>
      </c>
    </row>
    <row r="124" spans="1:17" s="41" customFormat="1" ht="15" thickBot="1" x14ac:dyDescent="0.4">
      <c r="A124" s="14" t="s">
        <v>88</v>
      </c>
      <c r="B124" s="20">
        <f t="shared" ref="B124" si="114">+B123*(365/B104)/(B118+B119)</f>
        <v>8.7605904372994869E-3</v>
      </c>
      <c r="C124" s="20">
        <f t="shared" ref="C124:H124" si="115">+C123*(365/C104)/(C118+C119)</f>
        <v>1.0853630440161653E-2</v>
      </c>
      <c r="D124" s="20">
        <f t="shared" si="115"/>
        <v>9.1485871812543047E-3</v>
      </c>
      <c r="E124" s="20">
        <f t="shared" si="115"/>
        <v>1.041017784357994E-2</v>
      </c>
      <c r="F124" s="20">
        <f t="shared" si="115"/>
        <v>1.2772155059513433E-2</v>
      </c>
      <c r="G124" s="20">
        <f t="shared" si="115"/>
        <v>1.2769993969636125E-2</v>
      </c>
      <c r="H124" s="20">
        <f t="shared" si="115"/>
        <v>1.7463435171145597E-2</v>
      </c>
      <c r="I124" s="20">
        <v>1.8617308361271703E-2</v>
      </c>
      <c r="J124" s="20">
        <v>1.8755308754973457E-2</v>
      </c>
      <c r="K124" s="20">
        <f>+K123*(365/K104)/(K118+K119)</f>
        <v>1.7983780553759109E-2</v>
      </c>
      <c r="L124" s="20">
        <f>+L123*(366/L104)/(L118+L119)</f>
        <v>2.0059981514762515E-2</v>
      </c>
      <c r="M124" s="20">
        <f>+M123*(366/M104)/(M118+M119)</f>
        <v>2.0525579163603688E-2</v>
      </c>
      <c r="N124" s="20">
        <f t="shared" ref="N124:O124" si="116">+N123*(366/N104)/(N118+N119)</f>
        <v>2.0240014848620515E-2</v>
      </c>
      <c r="O124" s="20">
        <f t="shared" si="116"/>
        <v>1.7432772074512357E-2</v>
      </c>
      <c r="P124" s="20">
        <f>+P123*(365/P104)/(P118+P119)</f>
        <v>1.6024238216560509E-2</v>
      </c>
      <c r="Q124" s="22"/>
    </row>
    <row r="125" spans="1:17" s="41" customFormat="1" x14ac:dyDescent="0.35">
      <c r="B125" s="65"/>
      <c r="C125" s="65"/>
      <c r="D125" s="65"/>
      <c r="E125" s="33"/>
      <c r="F125" s="65"/>
      <c r="G125" s="33"/>
      <c r="H125" s="47"/>
      <c r="I125" s="47"/>
      <c r="J125" s="47"/>
      <c r="K125" s="43"/>
      <c r="L125" s="42"/>
      <c r="M125" s="43"/>
      <c r="N125" s="43"/>
      <c r="O125" s="43"/>
      <c r="P125" s="43"/>
      <c r="Q125" s="22"/>
    </row>
    <row r="126" spans="1:17" x14ac:dyDescent="0.35">
      <c r="A126" s="22"/>
      <c r="B126" s="65"/>
      <c r="C126" s="65"/>
      <c r="D126" s="65"/>
      <c r="E126" s="65"/>
      <c r="F126" s="65"/>
      <c r="G126" s="33"/>
      <c r="H126" s="47"/>
      <c r="I126" s="47"/>
      <c r="J126" s="47"/>
      <c r="K126" s="47"/>
      <c r="L126" s="46"/>
      <c r="M126" s="47"/>
      <c r="N126" s="47"/>
      <c r="O126" s="47"/>
      <c r="P126" s="47"/>
    </row>
    <row r="127" spans="1:17" x14ac:dyDescent="0.35">
      <c r="A127" s="22" t="s">
        <v>89</v>
      </c>
      <c r="B127" s="24">
        <v>24056</v>
      </c>
      <c r="C127" s="24">
        <v>23936</v>
      </c>
      <c r="D127" s="24">
        <v>24110</v>
      </c>
      <c r="E127" s="24">
        <v>24048</v>
      </c>
      <c r="F127" s="24">
        <v>23605</v>
      </c>
      <c r="G127" s="24">
        <v>22926</v>
      </c>
      <c r="H127" s="24">
        <f>18448+1184</f>
        <v>19632</v>
      </c>
      <c r="I127" s="24">
        <v>18866</v>
      </c>
      <c r="J127" s="24">
        <v>18202.5</v>
      </c>
      <c r="K127" s="24">
        <v>17913</v>
      </c>
      <c r="L127" s="48">
        <v>16587</v>
      </c>
      <c r="M127" s="24">
        <v>16295</v>
      </c>
      <c r="N127" s="24">
        <v>15959</v>
      </c>
      <c r="O127" s="24">
        <v>15676</v>
      </c>
      <c r="P127" s="24">
        <v>15189</v>
      </c>
    </row>
    <row r="128" spans="1:17" x14ac:dyDescent="0.35">
      <c r="A128" s="22"/>
      <c r="B128" s="25"/>
      <c r="C128" s="24"/>
      <c r="D128" s="24"/>
      <c r="E128" s="25"/>
      <c r="F128" s="25"/>
      <c r="G128" s="24"/>
      <c r="H128" s="24"/>
      <c r="I128" s="24"/>
      <c r="J128" s="24"/>
      <c r="K128" s="24"/>
      <c r="L128" s="48"/>
      <c r="M128" s="24"/>
      <c r="N128" s="24"/>
      <c r="O128" s="24"/>
      <c r="P128" s="24"/>
    </row>
    <row r="129" spans="1:17" x14ac:dyDescent="0.35">
      <c r="A129" s="22" t="s">
        <v>90</v>
      </c>
      <c r="B129" s="24">
        <v>589.79999999999995</v>
      </c>
      <c r="C129" s="24">
        <v>278.5</v>
      </c>
      <c r="D129" s="24">
        <v>617</v>
      </c>
      <c r="E129" s="24">
        <v>379</v>
      </c>
      <c r="F129" s="24">
        <v>224</v>
      </c>
      <c r="G129" s="24">
        <v>101</v>
      </c>
      <c r="H129" s="24">
        <v>289</v>
      </c>
      <c r="I129" s="24">
        <v>204</v>
      </c>
      <c r="J129" s="24">
        <v>136</v>
      </c>
      <c r="K129" s="24">
        <v>69</v>
      </c>
      <c r="L129" s="48">
        <v>375</v>
      </c>
      <c r="M129" s="24">
        <v>309</v>
      </c>
      <c r="N129" s="24">
        <v>243</v>
      </c>
      <c r="O129" s="24">
        <v>135</v>
      </c>
      <c r="P129" s="24">
        <v>437</v>
      </c>
    </row>
    <row r="130" spans="1:17" x14ac:dyDescent="0.35">
      <c r="A130" s="32" t="s">
        <v>91</v>
      </c>
      <c r="B130" s="54">
        <v>-324</v>
      </c>
      <c r="C130" s="54">
        <v>-155</v>
      </c>
      <c r="D130" s="54">
        <v>-365</v>
      </c>
      <c r="E130" s="54">
        <v>-227</v>
      </c>
      <c r="F130" s="54">
        <f>-137</f>
        <v>-137</v>
      </c>
      <c r="G130" s="54">
        <v>-62.5</v>
      </c>
      <c r="H130" s="54">
        <v>-177</v>
      </c>
      <c r="I130" s="54">
        <v>-126</v>
      </c>
      <c r="J130" s="54">
        <v>-87</v>
      </c>
      <c r="K130" s="54">
        <f>-52+8</f>
        <v>-44</v>
      </c>
      <c r="L130" s="49">
        <f>-245+12-1</f>
        <v>-234</v>
      </c>
      <c r="M130" s="54">
        <f>-194+2</f>
        <v>-192</v>
      </c>
      <c r="N130" s="54">
        <f>-143-8</f>
        <v>-151</v>
      </c>
      <c r="O130" s="54">
        <f>-78-7</f>
        <v>-85</v>
      </c>
      <c r="P130" s="54">
        <f>-264-4</f>
        <v>-268</v>
      </c>
    </row>
    <row r="131" spans="1:17" x14ac:dyDescent="0.35">
      <c r="A131" s="22" t="s">
        <v>92</v>
      </c>
      <c r="B131" s="24">
        <f t="shared" ref="B131" si="117">+B129+B130</f>
        <v>265.79999999999995</v>
      </c>
      <c r="C131" s="24">
        <f t="shared" ref="C131:H131" si="118">+C129+C130</f>
        <v>123.5</v>
      </c>
      <c r="D131" s="24">
        <f t="shared" si="118"/>
        <v>252</v>
      </c>
      <c r="E131" s="24">
        <f t="shared" si="118"/>
        <v>152</v>
      </c>
      <c r="F131" s="24">
        <f t="shared" si="118"/>
        <v>87</v>
      </c>
      <c r="G131" s="24">
        <f t="shared" si="118"/>
        <v>38.5</v>
      </c>
      <c r="H131" s="24">
        <f t="shared" si="118"/>
        <v>112</v>
      </c>
      <c r="I131" s="24">
        <v>78</v>
      </c>
      <c r="J131" s="24">
        <v>49</v>
      </c>
      <c r="K131" s="24">
        <f t="shared" ref="K131:P131" si="119">SUM(K129:K130)</f>
        <v>25</v>
      </c>
      <c r="L131" s="24">
        <f t="shared" si="119"/>
        <v>141</v>
      </c>
      <c r="M131" s="24">
        <f t="shared" si="119"/>
        <v>117</v>
      </c>
      <c r="N131" s="24">
        <f t="shared" si="119"/>
        <v>92</v>
      </c>
      <c r="O131" s="24">
        <f t="shared" si="119"/>
        <v>50</v>
      </c>
      <c r="P131" s="24">
        <f t="shared" si="119"/>
        <v>169</v>
      </c>
    </row>
    <row r="132" spans="1:17" x14ac:dyDescent="0.35">
      <c r="A132" s="22"/>
      <c r="B132" s="24"/>
      <c r="C132" s="24"/>
      <c r="D132" s="24"/>
      <c r="E132" s="24"/>
      <c r="F132" s="24"/>
      <c r="G132" s="24"/>
      <c r="H132" s="24"/>
      <c r="I132" s="24"/>
      <c r="J132" s="24"/>
      <c r="K132" s="24"/>
      <c r="L132" s="24"/>
      <c r="M132" s="24"/>
      <c r="N132" s="24"/>
      <c r="O132" s="24"/>
      <c r="P132" s="24"/>
    </row>
    <row r="133" spans="1:17" x14ac:dyDescent="0.35">
      <c r="A133" s="32" t="s">
        <v>83</v>
      </c>
      <c r="B133" s="54">
        <f t="shared" ref="B133" si="120">+B127*B103%*B104/365</f>
        <v>430.64194410958908</v>
      </c>
      <c r="C133" s="54">
        <f t="shared" ref="C133:H133" si="121">+C127*C103%*C104/365</f>
        <v>196.53751232876715</v>
      </c>
      <c r="D133" s="54">
        <f t="shared" si="121"/>
        <v>491.84400000000005</v>
      </c>
      <c r="E133" s="54">
        <f t="shared" si="121"/>
        <v>291.38269808219184</v>
      </c>
      <c r="F133" s="54">
        <f t="shared" si="121"/>
        <v>146.31866438356164</v>
      </c>
      <c r="G133" s="49">
        <f t="shared" si="121"/>
        <v>66.139939726027393</v>
      </c>
      <c r="H133" s="49">
        <f t="shared" si="121"/>
        <v>92.270399999999995</v>
      </c>
      <c r="I133" s="49">
        <v>52.20971671232877</v>
      </c>
      <c r="J133" s="49">
        <v>32.495202739726025</v>
      </c>
      <c r="K133" s="49">
        <f>+K127*K103%*K104/365</f>
        <v>20.317758904109589</v>
      </c>
      <c r="L133" s="49">
        <f>+L127*L103%*L104/366</f>
        <v>115.0076232</v>
      </c>
      <c r="M133" s="49">
        <f>+M127*M103%*M104/366</f>
        <v>97.704441564207642</v>
      </c>
      <c r="N133" s="49">
        <f>+N127*N103%*N104/366</f>
        <v>84.174463547540995</v>
      </c>
      <c r="O133" s="49">
        <f>+O127*O103%*O104/366</f>
        <v>64.543612864480878</v>
      </c>
      <c r="P133" s="49">
        <f>+P127*P103%*P104/365</f>
        <v>236.07958920000002</v>
      </c>
    </row>
    <row r="134" spans="1:17" x14ac:dyDescent="0.35">
      <c r="A134" s="22" t="s">
        <v>93</v>
      </c>
      <c r="B134" s="60">
        <f t="shared" ref="B134" si="122">+B133-B131</f>
        <v>164.84194410958912</v>
      </c>
      <c r="C134" s="60">
        <f t="shared" ref="C134:H134" si="123">+C133-C131</f>
        <v>73.03751232876715</v>
      </c>
      <c r="D134" s="60">
        <f t="shared" si="123"/>
        <v>239.84400000000005</v>
      </c>
      <c r="E134" s="60">
        <f t="shared" si="123"/>
        <v>139.38269808219184</v>
      </c>
      <c r="F134" s="60">
        <f t="shared" si="123"/>
        <v>59.318664383561639</v>
      </c>
      <c r="G134" s="63">
        <f t="shared" si="123"/>
        <v>27.639939726027393</v>
      </c>
      <c r="H134" s="48">
        <f t="shared" si="123"/>
        <v>-19.729600000000005</v>
      </c>
      <c r="I134" s="48">
        <v>-25.79028328767123</v>
      </c>
      <c r="J134" s="48">
        <v>-16.504797260273975</v>
      </c>
      <c r="K134" s="48">
        <f t="shared" ref="K134" si="124">+K133-K131</f>
        <v>-4.6822410958904115</v>
      </c>
      <c r="L134" s="48">
        <f>+L133-L131</f>
        <v>-25.992376800000002</v>
      </c>
      <c r="M134" s="48">
        <f t="shared" ref="M134:P134" si="125">+M133-M131</f>
        <v>-19.295558435792358</v>
      </c>
      <c r="N134" s="48">
        <f t="shared" si="125"/>
        <v>-7.825536452459005</v>
      </c>
      <c r="O134" s="48">
        <f t="shared" si="125"/>
        <v>14.543612864480878</v>
      </c>
      <c r="P134" s="48">
        <f t="shared" si="125"/>
        <v>67.079589200000015</v>
      </c>
    </row>
    <row r="135" spans="1:17" s="3" customFormat="1" ht="15" thickBot="1" x14ac:dyDescent="0.4">
      <c r="A135" s="14" t="s">
        <v>94</v>
      </c>
      <c r="B135" s="20">
        <f t="shared" ref="B135" si="126">+B134*(365/B104)/B127</f>
        <v>1.381842680155145E-2</v>
      </c>
      <c r="C135" s="20">
        <f t="shared" ref="C135:H135" si="127">+C134*(365/C104)/C127</f>
        <v>1.2374987002376712E-2</v>
      </c>
      <c r="D135" s="20">
        <f t="shared" si="127"/>
        <v>9.9479054334301147E-3</v>
      </c>
      <c r="E135" s="20">
        <f t="shared" si="127"/>
        <v>7.7492580163238869E-3</v>
      </c>
      <c r="F135" s="20">
        <f t="shared" si="127"/>
        <v>5.0675920800560791E-3</v>
      </c>
      <c r="G135" s="20">
        <f t="shared" si="127"/>
        <v>4.8894404218403163E-3</v>
      </c>
      <c r="H135" s="20">
        <f t="shared" si="127"/>
        <v>-1.0049714751426246E-3</v>
      </c>
      <c r="I135" s="20">
        <v>-1.8277066832245456E-3</v>
      </c>
      <c r="J135" s="20">
        <v>-1.8284935968209096E-3</v>
      </c>
      <c r="K135" s="20">
        <f>+K134*(365/K104)/K127</f>
        <v>-1.0600730692172662E-3</v>
      </c>
      <c r="L135" s="20">
        <f>+L134*(366/L104)/L127</f>
        <v>-1.5670330258636283E-3</v>
      </c>
      <c r="M135" s="20">
        <f>+M134*(366/M104)/M127</f>
        <v>-1.5759824569723012E-3</v>
      </c>
      <c r="N135" s="20">
        <f>+N134*(366/N104)/N127</f>
        <v>-9.8609360304461355E-4</v>
      </c>
      <c r="O135" s="20">
        <f>+O134*(366/O104)/O127</f>
        <v>3.7314424152270292E-3</v>
      </c>
      <c r="P135" s="20">
        <f>+P134*(365/P104)/P127</f>
        <v>4.416326894463099E-3</v>
      </c>
      <c r="Q135"/>
    </row>
    <row r="136" spans="1:17" x14ac:dyDescent="0.35">
      <c r="A136" s="22"/>
      <c r="B136" s="33"/>
      <c r="C136" s="33"/>
      <c r="D136" s="65"/>
      <c r="E136" s="65"/>
      <c r="F136" s="65"/>
      <c r="G136" s="38"/>
      <c r="H136" s="38"/>
      <c r="I136" s="38"/>
      <c r="J136" s="38"/>
      <c r="K136" s="38"/>
      <c r="L136" s="38"/>
      <c r="M136" s="33"/>
      <c r="N136" s="33"/>
      <c r="O136" s="33"/>
      <c r="P136" s="33"/>
    </row>
    <row r="137" spans="1:17" x14ac:dyDescent="0.35">
      <c r="A137" s="22"/>
      <c r="B137" s="65"/>
      <c r="C137" s="65"/>
      <c r="D137" s="65"/>
      <c r="E137" s="65"/>
      <c r="F137" s="65"/>
      <c r="G137" s="38"/>
      <c r="H137" s="38"/>
      <c r="I137" s="38"/>
      <c r="J137" s="38"/>
      <c r="K137" s="38"/>
      <c r="L137" s="38"/>
      <c r="M137" s="33"/>
      <c r="N137" s="33"/>
      <c r="O137" s="33"/>
      <c r="P137" s="33"/>
    </row>
    <row r="138" spans="1:17" x14ac:dyDescent="0.35">
      <c r="A138" s="22"/>
      <c r="B138" s="65"/>
      <c r="C138" s="65"/>
      <c r="D138" s="65"/>
      <c r="E138" s="65"/>
      <c r="F138" s="65"/>
      <c r="G138" s="38"/>
      <c r="H138" s="38"/>
      <c r="I138" s="38"/>
      <c r="J138" s="38"/>
      <c r="K138" s="38"/>
      <c r="L138" s="38"/>
      <c r="M138" s="33"/>
      <c r="N138" s="33"/>
      <c r="O138" s="33"/>
      <c r="P138" s="33"/>
    </row>
  </sheetData>
  <pageMargins left="0.7" right="0.7" top="0.75" bottom="0.75" header="0.3" footer="0.3"/>
  <pageSetup paperSize="9" orientation="portrait" r:id="rId1"/>
  <ignoredErrors>
    <ignoredError sqref="L23:O2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2F24414740EFB4C820770621D7159A3" ma:contentTypeVersion="2" ma:contentTypeDescription="Create a new document." ma:contentTypeScope="" ma:versionID="511b5347395e0c43b348394748798e54">
  <xsd:schema xmlns:xsd="http://www.w3.org/2001/XMLSchema" xmlns:xs="http://www.w3.org/2001/XMLSchema" xmlns:p="http://schemas.microsoft.com/office/2006/metadata/properties" xmlns:ns2="4315fb67-519e-4616-947a-3076539a5839" targetNamespace="http://schemas.microsoft.com/office/2006/metadata/properties" ma:root="true" ma:fieldsID="e8a1b51020b384bd81573df5eccbb05c" ns2:_="">
    <xsd:import namespace="4315fb67-519e-4616-947a-3076539a583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5fb67-519e-4616-947a-3076539a58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A69B47-8109-419D-9DA7-32C86C4FB97F}">
  <ds:schemaRefs>
    <ds:schemaRef ds:uri="http://schemas.openxmlformats.org/package/2006/metadata/core-properties"/>
    <ds:schemaRef ds:uri="http://purl.org/dc/terms/"/>
    <ds:schemaRef ds:uri="http://purl.org/dc/dcmitype/"/>
    <ds:schemaRef ds:uri="http://www.w3.org/XML/1998/namespace"/>
    <ds:schemaRef ds:uri="http://schemas.microsoft.com/office/2006/documentManagement/types"/>
    <ds:schemaRef ds:uri="http://schemas.microsoft.com/office/infopath/2007/PartnerControls"/>
    <ds:schemaRef ds:uri="4315fb67-519e-4616-947a-3076539a5839"/>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52B5AF2A-CFAE-42AA-8B74-F9241248CB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5fb67-519e-4616-947a-3076539a5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8A3CBE-E7CA-43F7-9994-51BE4609B6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APM definisjoner</vt:lpstr>
      <vt:lpstr>APM utregning</vt:lpstr>
      <vt:lpstr>'APM definisjoner'!Utskriftsområde</vt:lpstr>
      <vt:lpstr>'APM utregning'!Utskriftsområde</vt:lpstr>
    </vt:vector>
  </TitlesOfParts>
  <Manager/>
  <Company>SpareBank1 Alliansen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Cathrine Aunvik</dc:creator>
  <cp:keywords/>
  <dc:description/>
  <cp:lastModifiedBy>Mona Horneberg Selnæs</cp:lastModifiedBy>
  <cp:revision/>
  <dcterms:created xsi:type="dcterms:W3CDTF">2017-08-15T12:23:16Z</dcterms:created>
  <dcterms:modified xsi:type="dcterms:W3CDTF">2023-07-11T12:18:40Z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624104-c6e2-47da-a556-f8167ffa8312_Enabled">
    <vt:lpwstr>True</vt:lpwstr>
  </property>
  <property fmtid="{D5CDD505-2E9C-101B-9397-08002B2CF9AE}" pid="3" name="MSIP_Label_e6624104-c6e2-47da-a556-f8167ffa8312_SiteId">
    <vt:lpwstr>156b047c-a56e-40a2-9f11-b69d58cf5508</vt:lpwstr>
  </property>
  <property fmtid="{D5CDD505-2E9C-101B-9397-08002B2CF9AE}" pid="4" name="MSIP_Label_e6624104-c6e2-47da-a556-f8167ffa8312_Owner">
    <vt:lpwstr>Cathrine.Aunvik@smn.no</vt:lpwstr>
  </property>
  <property fmtid="{D5CDD505-2E9C-101B-9397-08002B2CF9AE}" pid="5" name="MSIP_Label_e6624104-c6e2-47da-a556-f8167ffa8312_SetDate">
    <vt:lpwstr>2020-07-21T14:25:47.4261643Z</vt:lpwstr>
  </property>
  <property fmtid="{D5CDD505-2E9C-101B-9397-08002B2CF9AE}" pid="6" name="MSIP_Label_e6624104-c6e2-47da-a556-f8167ffa8312_Name">
    <vt:lpwstr>Fortrolig</vt:lpwstr>
  </property>
  <property fmtid="{D5CDD505-2E9C-101B-9397-08002B2CF9AE}" pid="7" name="MSIP_Label_e6624104-c6e2-47da-a556-f8167ffa8312_Application">
    <vt:lpwstr>Microsoft Azure Information Protection</vt:lpwstr>
  </property>
  <property fmtid="{D5CDD505-2E9C-101B-9397-08002B2CF9AE}" pid="8" name="MSIP_Label_e6624104-c6e2-47da-a556-f8167ffa8312_ActionId">
    <vt:lpwstr>e0232c76-87ac-4e56-9012-794c95971c69</vt:lpwstr>
  </property>
  <property fmtid="{D5CDD505-2E9C-101B-9397-08002B2CF9AE}" pid="9" name="MSIP_Label_e6624104-c6e2-47da-a556-f8167ffa8312_Extended_MSFT_Method">
    <vt:lpwstr>Manual</vt:lpwstr>
  </property>
  <property fmtid="{D5CDD505-2E9C-101B-9397-08002B2CF9AE}" pid="10" name="ContentTypeId">
    <vt:lpwstr>0x01010082F24414740EFB4C820770621D7159A3</vt:lpwstr>
  </property>
</Properties>
</file>