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M:\REGNRAPP\R2022\Q1 2022\"/>
    </mc:Choice>
  </mc:AlternateContent>
  <xr:revisionPtr revIDLastSave="0" documentId="8_{84BF3590-C798-4BBE-8F59-F451882EA99F}" xr6:coauthVersionLast="47" xr6:coauthVersionMax="47" xr10:uidLastSave="{00000000-0000-0000-0000-000000000000}"/>
  <bookViews>
    <workbookView xWindow="28680" yWindow="-120" windowWidth="29040" windowHeight="16440"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definisjoner'!$A$1:$B$27</definedName>
    <definedName name="_xlnm.Print_Area" localSheetId="1">'APM utregning'!$A$1:$K$147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4" i="2" l="1"/>
  <c r="B131" i="2" l="1"/>
  <c r="B119" i="2"/>
  <c r="B133" i="2" l="1"/>
  <c r="B121" i="2" l="1"/>
  <c r="C117" i="2" l="1"/>
  <c r="B142" i="2" l="1"/>
  <c r="B145" i="2" s="1"/>
  <c r="B146" i="2" s="1"/>
  <c r="C142" i="2"/>
  <c r="B134" i="2"/>
  <c r="B135" i="2" s="1"/>
  <c r="B122" i="2"/>
  <c r="B123" i="2" s="1"/>
  <c r="B108" i="2"/>
  <c r="B107" i="2"/>
  <c r="B109" i="2" s="1"/>
  <c r="B100" i="2"/>
  <c r="B102" i="2" s="1"/>
  <c r="B96" i="2"/>
  <c r="B95" i="2"/>
  <c r="C129" i="2"/>
  <c r="B88" i="2"/>
  <c r="B80" i="2"/>
  <c r="B73" i="2"/>
  <c r="B75" i="2" s="1"/>
  <c r="B69" i="2"/>
  <c r="B72" i="2" s="1"/>
  <c r="B66" i="2"/>
  <c r="B89" i="2" s="1"/>
  <c r="C66" i="2"/>
  <c r="C69" i="2" s="1"/>
  <c r="C72" i="2" s="1"/>
  <c r="F63" i="2"/>
  <c r="B62" i="2"/>
  <c r="B56" i="2"/>
  <c r="B55" i="2"/>
  <c r="B82" i="2" s="1"/>
  <c r="B49" i="2"/>
  <c r="B50" i="2" s="1"/>
  <c r="B52" i="2" s="1"/>
  <c r="B45" i="2"/>
  <c r="C45" i="2"/>
  <c r="B36" i="2"/>
  <c r="B30" i="2"/>
  <c r="B32" i="2" s="1"/>
  <c r="B33" i="2" s="1"/>
  <c r="C30" i="2"/>
  <c r="B20" i="2"/>
  <c r="B25" i="2" s="1"/>
  <c r="B23" i="2"/>
  <c r="C23" i="2"/>
  <c r="B10" i="2"/>
  <c r="B6" i="2"/>
  <c r="B14" i="2" s="1"/>
  <c r="B37" i="2" l="1"/>
  <c r="B39" i="2" s="1"/>
  <c r="B40" i="2" s="1"/>
  <c r="B90" i="2"/>
  <c r="B57" i="2"/>
  <c r="B59" i="2" s="1"/>
  <c r="B97" i="2"/>
  <c r="C110" i="2"/>
  <c r="B74" i="2"/>
  <c r="B76" i="2" s="1"/>
  <c r="B79" i="2"/>
  <c r="B110" i="2"/>
  <c r="B111" i="2" s="1"/>
  <c r="B81" i="2" l="1"/>
  <c r="B83" i="2" s="1"/>
  <c r="C119" i="2"/>
  <c r="C131" i="2"/>
  <c r="C133" i="2"/>
  <c r="C138" i="2" l="1"/>
  <c r="C144" i="2" s="1"/>
  <c r="C20" i="2" l="1"/>
  <c r="C25" i="2" s="1"/>
  <c r="C121" i="2"/>
  <c r="C88" i="2"/>
  <c r="C49" i="2"/>
  <c r="C50" i="2" s="1"/>
  <c r="C52" i="2" s="1"/>
  <c r="C122" i="2" l="1"/>
  <c r="C123" i="2" s="1"/>
  <c r="E80" i="2"/>
  <c r="E81" i="2" s="1"/>
  <c r="E83" i="2" s="1"/>
  <c r="F80" i="2"/>
  <c r="F81" i="2" s="1"/>
  <c r="F83" i="2" s="1"/>
  <c r="G80" i="2"/>
  <c r="H80" i="2"/>
  <c r="I80" i="2"/>
  <c r="J80" i="2"/>
  <c r="K80" i="2"/>
  <c r="C80" i="2"/>
  <c r="C62" i="2" l="1"/>
  <c r="C55" i="2"/>
  <c r="C32" i="2"/>
  <c r="C33" i="2" s="1"/>
  <c r="C6" i="2"/>
  <c r="C14" i="2" s="1"/>
  <c r="C63" i="2" l="1"/>
  <c r="B63" i="2"/>
  <c r="C82" i="2"/>
  <c r="J63" i="2"/>
  <c r="I63" i="2"/>
  <c r="G63" i="2"/>
  <c r="J23" i="2"/>
  <c r="I23" i="2"/>
  <c r="H23" i="2"/>
  <c r="G23" i="2"/>
  <c r="K141" i="2"/>
  <c r="K142" i="2" s="1"/>
  <c r="H141" i="2"/>
  <c r="H142" i="2" s="1"/>
  <c r="I141" i="2"/>
  <c r="I142" i="2" s="1"/>
  <c r="J141" i="2"/>
  <c r="J142" i="2" s="1"/>
  <c r="G141" i="2" l="1"/>
  <c r="G142" i="2" s="1"/>
  <c r="F141" i="2"/>
  <c r="F142" i="2" s="1"/>
  <c r="F104" i="2" l="1"/>
  <c r="F108" i="2"/>
  <c r="F107" i="2"/>
  <c r="F95" i="2"/>
  <c r="F97" i="2" s="1"/>
  <c r="K32" i="2"/>
  <c r="J32" i="2"/>
  <c r="I32" i="2"/>
  <c r="H32" i="2"/>
  <c r="G32" i="2"/>
  <c r="F32" i="2"/>
  <c r="F109" i="2" l="1"/>
  <c r="F111" i="2" s="1"/>
  <c r="C145" i="2"/>
  <c r="C146" i="2" s="1"/>
  <c r="P115" i="2" l="1"/>
  <c r="H89" i="2"/>
  <c r="G89" i="2"/>
  <c r="J20" i="2"/>
  <c r="J131" i="2" l="1"/>
  <c r="J119" i="2"/>
  <c r="F131" i="2"/>
  <c r="I131" i="2"/>
  <c r="F126" i="2"/>
  <c r="C126" i="2"/>
  <c r="F129" i="2"/>
  <c r="F133" i="2" s="1"/>
  <c r="F117" i="2"/>
  <c r="F144" i="2"/>
  <c r="C124" i="2" l="1"/>
  <c r="F124" i="2"/>
  <c r="F145" i="2"/>
  <c r="F146" i="2" s="1"/>
  <c r="F134" i="2"/>
  <c r="F135" i="2" s="1"/>
  <c r="F121" i="2"/>
  <c r="F122" i="2" s="1"/>
  <c r="F123" i="2" s="1"/>
  <c r="C125" i="2"/>
  <c r="F125" i="2"/>
  <c r="C108" i="2"/>
  <c r="C107" i="2"/>
  <c r="C89" i="2"/>
  <c r="C109" i="2" l="1"/>
  <c r="P118" i="2"/>
  <c r="P117" i="2"/>
  <c r="P114" i="2"/>
  <c r="P119" i="2" l="1"/>
  <c r="C37" i="2"/>
  <c r="C39" i="2" s="1"/>
  <c r="C36" i="2"/>
  <c r="C40" i="2" l="1"/>
  <c r="C134" i="2"/>
  <c r="C135" i="2" s="1"/>
  <c r="C100" i="2"/>
  <c r="C102" i="2" s="1"/>
  <c r="C96" i="2"/>
  <c r="C95" i="2"/>
  <c r="C79" i="2"/>
  <c r="C10" i="2"/>
  <c r="Q114" i="2"/>
  <c r="R114" i="2"/>
  <c r="S114" i="2"/>
  <c r="J55" i="2"/>
  <c r="Q117" i="2"/>
  <c r="R117" i="2"/>
  <c r="T117" i="2"/>
  <c r="Q118" i="2"/>
  <c r="R118" i="2"/>
  <c r="S118" i="2"/>
  <c r="T118" i="2"/>
  <c r="B12" i="2" l="1"/>
  <c r="B15" i="2" s="1"/>
  <c r="B16" i="2" s="1"/>
  <c r="C81" i="2"/>
  <c r="C83" i="2" s="1"/>
  <c r="B103" i="2"/>
  <c r="B104" i="2" s="1"/>
  <c r="Q119" i="2"/>
  <c r="T119" i="2"/>
  <c r="R119" i="2"/>
  <c r="C97" i="2"/>
  <c r="C90" i="2"/>
  <c r="C111" i="2"/>
  <c r="J144" i="2"/>
  <c r="K121" i="2" l="1"/>
  <c r="K122" i="2" s="1"/>
  <c r="K123" i="2" s="1"/>
  <c r="H121" i="2"/>
  <c r="H122" i="2" s="1"/>
  <c r="H123" i="2" s="1"/>
  <c r="I121" i="2"/>
  <c r="I122" i="2" s="1"/>
  <c r="I123" i="2" s="1"/>
  <c r="G121" i="2"/>
  <c r="G122" i="2" s="1"/>
  <c r="G123" i="2" s="1"/>
  <c r="K133" i="2" l="1"/>
  <c r="K134" i="2" s="1"/>
  <c r="K135" i="2" s="1"/>
  <c r="H133" i="2"/>
  <c r="H134" i="2" s="1"/>
  <c r="H135" i="2" s="1"/>
  <c r="I133" i="2"/>
  <c r="I134" i="2" s="1"/>
  <c r="I135" i="2" s="1"/>
  <c r="J133" i="2"/>
  <c r="J134" i="2" s="1"/>
  <c r="J135" i="2" s="1"/>
  <c r="G133" i="2"/>
  <c r="G134" i="2" s="1"/>
  <c r="G135" i="2" s="1"/>
  <c r="K144" i="2"/>
  <c r="K145" i="2" s="1"/>
  <c r="K146" i="2" s="1"/>
  <c r="H144" i="2"/>
  <c r="I144" i="2"/>
  <c r="I145" i="2" s="1"/>
  <c r="I146" i="2" s="1"/>
  <c r="J145" i="2"/>
  <c r="J146" i="2" s="1"/>
  <c r="G144" i="2"/>
  <c r="G145" i="2" s="1"/>
  <c r="G146" i="2" s="1"/>
  <c r="S117" i="2" l="1"/>
  <c r="S119" i="2" s="1"/>
  <c r="J121" i="2"/>
  <c r="J122" i="2" s="1"/>
  <c r="J123" i="2" s="1"/>
  <c r="H145" i="2"/>
  <c r="H146" i="2" s="1"/>
  <c r="K109" i="2" l="1"/>
  <c r="J109" i="2"/>
  <c r="I109" i="2"/>
  <c r="H109" i="2"/>
  <c r="G109" i="2"/>
  <c r="K100" i="2"/>
  <c r="K102" i="2" s="1"/>
  <c r="K104" i="2" s="1"/>
  <c r="J100" i="2"/>
  <c r="G100" i="2"/>
  <c r="K95" i="2"/>
  <c r="J95" i="2"/>
  <c r="I95" i="2"/>
  <c r="H95" i="2"/>
  <c r="G95" i="2"/>
  <c r="J96" i="2"/>
  <c r="I96" i="2"/>
  <c r="H96" i="2"/>
  <c r="G96" i="2"/>
  <c r="K88" i="2"/>
  <c r="K90" i="2" s="1"/>
  <c r="I86" i="2"/>
  <c r="H86" i="2" s="1"/>
  <c r="H88" i="2" s="1"/>
  <c r="J89" i="2"/>
  <c r="I89" i="2"/>
  <c r="J88" i="2"/>
  <c r="G88" i="2"/>
  <c r="G97" i="2" l="1"/>
  <c r="H100" i="2"/>
  <c r="J97" i="2"/>
  <c r="I100" i="2"/>
  <c r="H97" i="2"/>
  <c r="I97" i="2"/>
  <c r="I88" i="2"/>
  <c r="I90" i="2" s="1"/>
  <c r="G90" i="2"/>
  <c r="J90" i="2"/>
  <c r="H90" i="2"/>
  <c r="K75" i="2" l="1"/>
  <c r="J75" i="2"/>
  <c r="I75" i="2"/>
  <c r="H75" i="2"/>
  <c r="K69" i="2" l="1"/>
  <c r="K72" i="2" s="1"/>
  <c r="K110" i="2" s="1"/>
  <c r="K111" i="2" s="1"/>
  <c r="J69" i="2"/>
  <c r="I69" i="2"/>
  <c r="H69" i="2"/>
  <c r="G69" i="2"/>
  <c r="H63" i="2"/>
  <c r="P113" i="2" l="1"/>
  <c r="I72" i="2"/>
  <c r="R113" i="2"/>
  <c r="G72" i="2"/>
  <c r="C73" i="2" s="1"/>
  <c r="H72" i="2"/>
  <c r="Q113" i="2"/>
  <c r="J72" i="2"/>
  <c r="J103" i="2" s="1"/>
  <c r="S113" i="2"/>
  <c r="G73" i="2"/>
  <c r="G75" i="2" s="1"/>
  <c r="K74" i="2"/>
  <c r="K76" i="2" s="1"/>
  <c r="K79" i="2"/>
  <c r="K81" i="2" s="1"/>
  <c r="C75" i="2" l="1"/>
  <c r="C74" i="2"/>
  <c r="H110" i="2"/>
  <c r="H111" i="2" s="1"/>
  <c r="G79" i="2"/>
  <c r="G103" i="2"/>
  <c r="H79" i="2"/>
  <c r="H81" i="2" s="1"/>
  <c r="H74" i="2"/>
  <c r="H76" i="2" s="1"/>
  <c r="I110" i="2"/>
  <c r="I111" i="2" s="1"/>
  <c r="J110" i="2"/>
  <c r="J111" i="2" s="1"/>
  <c r="G110" i="2"/>
  <c r="G111" i="2" s="1"/>
  <c r="J79" i="2"/>
  <c r="J81" i="2" s="1"/>
  <c r="J74" i="2"/>
  <c r="J76" i="2" s="1"/>
  <c r="I79" i="2"/>
  <c r="I81" i="2" s="1"/>
  <c r="I74" i="2"/>
  <c r="I76" i="2" s="1"/>
  <c r="I55" i="2"/>
  <c r="J82" i="2"/>
  <c r="J83" i="2" s="1"/>
  <c r="K55" i="2"/>
  <c r="K82" i="2" s="1"/>
  <c r="K83" i="2" s="1"/>
  <c r="H55" i="2"/>
  <c r="G55" i="2"/>
  <c r="G50" i="2"/>
  <c r="G52" i="2" s="1"/>
  <c r="J50" i="2"/>
  <c r="J52" i="2" s="1"/>
  <c r="I50" i="2"/>
  <c r="I52" i="2" s="1"/>
  <c r="J45" i="2"/>
  <c r="I45" i="2"/>
  <c r="C76" i="2" l="1"/>
  <c r="G82" i="2"/>
  <c r="C56" i="2"/>
  <c r="C57" i="2" s="1"/>
  <c r="C59" i="2" s="1"/>
  <c r="C103" i="2"/>
  <c r="C104" i="2" s="1"/>
  <c r="G81" i="2"/>
  <c r="H82" i="2"/>
  <c r="H83" i="2" s="1"/>
  <c r="I82" i="2"/>
  <c r="I83" i="2" s="1"/>
  <c r="S115" i="2"/>
  <c r="Q115" i="2"/>
  <c r="R115" i="2"/>
  <c r="K50" i="2"/>
  <c r="K52" i="2" s="1"/>
  <c r="K96" i="2"/>
  <c r="K97" i="2" s="1"/>
  <c r="K57" i="2"/>
  <c r="K59" i="2" s="1"/>
  <c r="H50" i="2"/>
  <c r="H52" i="2" s="1"/>
  <c r="G83" i="2" l="1"/>
  <c r="K45" i="2"/>
  <c r="H45" i="2"/>
  <c r="K39" i="2"/>
  <c r="K40" i="2" s="1"/>
  <c r="J39" i="2"/>
  <c r="J40" i="2" s="1"/>
  <c r="I39" i="2"/>
  <c r="H39" i="2"/>
  <c r="G39" i="2"/>
  <c r="G40" i="2" s="1"/>
  <c r="I36" i="2"/>
  <c r="H36" i="2"/>
  <c r="K33" i="2"/>
  <c r="H28" i="2"/>
  <c r="I28" i="2"/>
  <c r="K20" i="2"/>
  <c r="K25" i="2" s="1"/>
  <c r="H19" i="2"/>
  <c r="I19" i="2"/>
  <c r="G20" i="2"/>
  <c r="K15" i="2"/>
  <c r="K6" i="2"/>
  <c r="K14" i="2" s="1"/>
  <c r="J6" i="2"/>
  <c r="J14" i="2" s="1"/>
  <c r="I6" i="2"/>
  <c r="I14" i="2" s="1"/>
  <c r="H6" i="2"/>
  <c r="H14" i="2" s="1"/>
  <c r="K10" i="2"/>
  <c r="I20" i="2" l="1"/>
  <c r="I25" i="2" s="1"/>
  <c r="H20" i="2"/>
  <c r="H25" i="2" s="1"/>
  <c r="G25" i="2"/>
  <c r="H40" i="2"/>
  <c r="I40" i="2"/>
  <c r="J25" i="2"/>
  <c r="K16" i="2"/>
  <c r="H10" i="2" l="1"/>
  <c r="I10" i="2"/>
  <c r="J10" i="2"/>
  <c r="H33" i="2"/>
  <c r="I33" i="2"/>
  <c r="J33" i="2"/>
  <c r="J57" i="2"/>
  <c r="J59" i="2" s="1"/>
  <c r="I103" i="2"/>
  <c r="H102" i="2"/>
  <c r="I102" i="2"/>
  <c r="J102" i="2"/>
  <c r="J12" i="2" l="1"/>
  <c r="J15" i="2" s="1"/>
  <c r="J16" i="2" s="1"/>
  <c r="J104" i="2"/>
  <c r="I104" i="2"/>
  <c r="I12" i="2"/>
  <c r="I15" i="2" s="1"/>
  <c r="I16" i="2" s="1"/>
  <c r="H12" i="2"/>
  <c r="H15" i="2" s="1"/>
  <c r="H16" i="2" s="1"/>
  <c r="H103" i="2"/>
  <c r="H104" i="2" l="1"/>
  <c r="G56" i="2"/>
  <c r="G74" i="2" l="1"/>
  <c r="G76" i="2" l="1"/>
  <c r="I57" i="2"/>
  <c r="I59" i="2" s="1"/>
  <c r="H57" i="2" l="1"/>
  <c r="H59" i="2" s="1"/>
  <c r="G102" i="2" l="1"/>
  <c r="G45" i="2"/>
  <c r="G57" i="2" l="1"/>
  <c r="G59" i="2" s="1"/>
  <c r="G104" i="2"/>
  <c r="G10" i="2"/>
  <c r="C12" i="2" s="1"/>
  <c r="C15" i="2" s="1"/>
  <c r="C16" i="2" s="1"/>
  <c r="G12" i="2" l="1"/>
  <c r="G33" i="2"/>
  <c r="G15" i="2" l="1"/>
  <c r="G6" i="2" l="1"/>
  <c r="G14" i="2" s="1"/>
  <c r="G16" i="2" s="1"/>
</calcChain>
</file>

<file path=xl/sharedStrings.xml><?xml version="1.0" encoding="utf-8"?>
<sst xmlns="http://schemas.openxmlformats.org/spreadsheetml/2006/main" count="154" uniqueCount="131">
  <si>
    <t>Tapsprosent utlån</t>
  </si>
  <si>
    <t>Begrunnelse og definisjon</t>
  </si>
  <si>
    <t xml:space="preserve">Alternative Resultatmål (APM'er) </t>
  </si>
  <si>
    <t>Periodens resultat</t>
  </si>
  <si>
    <t>Fratrukket renter hybridkapital</t>
  </si>
  <si>
    <t>Periodens resultat eks. renter hybridkapital</t>
  </si>
  <si>
    <t>Total egenkapital</t>
  </si>
  <si>
    <t>Fratrukket hybridkapital</t>
  </si>
  <si>
    <t>Egenkapital eks. hybridkapital</t>
  </si>
  <si>
    <t>Egenkapitalavkastning i prosent</t>
  </si>
  <si>
    <t>Snitt EK eks. hybridkapital</t>
  </si>
  <si>
    <t>Sum driftskostnader</t>
  </si>
  <si>
    <t>Kostnadsprosent</t>
  </si>
  <si>
    <t>Innskudd fra og gjeld til kunder</t>
  </si>
  <si>
    <t>Delt på brutto utlån til kunder inkl. SB1 Boligkreditt og SB1 Næringskreditt</t>
  </si>
  <si>
    <t>Brutto utlån til kunder inkl SB1 Boligkreditt og SB1 Næringskreditt ved utgangen av perioden</t>
  </si>
  <si>
    <t>Utlånsvekst inkl. SB1 Boligkreditt og SB1 Næringskreditt i kr</t>
  </si>
  <si>
    <t>Misligholdte engasjement i prosent av brutto utlån inkl. SB1 Boligkreditt og SB1 Næringskreditt</t>
  </si>
  <si>
    <t>Delt på snitt. Brutto utlån til kunder inkl. SB1 Boligkreditt og SB1 Næringskreditt</t>
  </si>
  <si>
    <t>Tapsprosent utlån til kunder</t>
  </si>
  <si>
    <t>Tap på utlån annualisert</t>
  </si>
  <si>
    <t>Innskudd fra kunder ved utgangen av perioden</t>
  </si>
  <si>
    <t>Innskuddsvekst (mill)</t>
  </si>
  <si>
    <t>Innskuddsvekst siste 12 mnd</t>
  </si>
  <si>
    <t>3 måneders pengemarkedsrenter (Nibor), mill kroner</t>
  </si>
  <si>
    <t>Fratrukket brutto utlån til kunder inkl SB1 Boligkreditt og SB1 Næringskreditt ved utgangen samme periode forrige år (kvartal)</t>
  </si>
  <si>
    <t>Delt på Brutto utlån til kunder inkl SB1 Boligkreditt og SB1 Næringskreditt ved utgangen samme periode forrige år (kvartal)</t>
  </si>
  <si>
    <t>Innskudd fra kunder ved utgangen av samme periode forrige år (kvartal)</t>
  </si>
  <si>
    <t xml:space="preserve">Alternative resultatmål i BN Bank med definisjoner: </t>
  </si>
  <si>
    <t>Egenkapitalrentabilitet</t>
  </si>
  <si>
    <t>Egenkapitalrentabilitet gir relevant informasjon om lønnsomheten i BN Bank ved å måle evne til å genere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</si>
  <si>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Rentenetto</t>
  </si>
  <si>
    <t>Nøkkeltallet gir informasjon om hvor stor andel netto rente- og kredittprovisjonsinntekter utgjør av gjennomsnittlig forvaltningskapital i perioden.</t>
  </si>
  <si>
    <t xml:space="preserve">Kostnadsprosent er inkludert for å gi informasjon om sammenhengen mellom inntekter og kostnader, og er vurdert å være et av de viktigste finansielle måltall i BN Bank. Beregnes som sum driftskostnader dividert med sum inntekter. </t>
  </si>
  <si>
    <t>Kostnadsprosent justert for egenkapitalpåslag og avkastning i Sparebank 1 Næringskreditt</t>
  </si>
  <si>
    <t xml:space="preserve">Innskuddsdekning  </t>
  </si>
  <si>
    <t>Andel utlån finansiert via innskudd</t>
  </si>
  <si>
    <t>Innskuddsdekning beregnes som andel innskudd fra kunder i prosent av netto utlån til kunder. Måltallet gir relevant informasjon om likviditeten til BN Bank.</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</si>
  <si>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</si>
  <si>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 xml:space="preserve">Nøkkeltallet gir et bilde på utviklingen i bankens innskuddsvolum og beregnes som innskudd fra kunder ved utløpet av perioden minus innskudd fra kunder ved starten av perioden, dividert på innskudd fra kunder ved starten av perioden. </t>
  </si>
  <si>
    <t>Utlånsvekst (brutto) siste 12 måneder</t>
  </si>
  <si>
    <t>Dette er et av de viktigste måltallene for BN Bank og gir informasjon om aktivitet og vekst i bankens utlånsvirksomhet. Nøkkeltallet beregnes som brutto utlån ved utløpet av perioden minus brutto utlån ved starte på perioden delt å brutto utlån ved starten på perioden.</t>
  </si>
  <si>
    <t>Gjennomsnittlig forvaltningskapital</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</si>
  <si>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</si>
  <si>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</si>
  <si>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 beregnes som brutto utlån i BN Bank pluss brutto utlån i SB1 Boligkreditt pluss brutto ulån i SB 1 Næringskreditt.</t>
  </si>
  <si>
    <t>Brutto utlån inklusive utlån solgt til SB1 Boligkreditt og SB1 Næringskreditt</t>
  </si>
  <si>
    <t>Utlånsvekst (brutto) siste 12 mnd inklusive SB1 Boligkreditt og SB1 Næringskreditt</t>
  </si>
  <si>
    <t xml:space="preserve">Dette er et av de viktigste måltallene for BN Bank og gir informasjon om aktivitet og vekst i bankens totale utlånsvirksomhet inlise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</si>
  <si>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i % av brutto utlån</t>
  </si>
  <si>
    <t>Tapsprosent utlån inklusive utlån overført til  SB1 Boligkreditt og SB1 Næringskreditt</t>
  </si>
  <si>
    <t>Misligholdte og andre tapsutsatte engasjement i % av brutto utlån inklusive utlån overført til  SB1 Boligkreditt og SB1 Næringskreditt</t>
  </si>
  <si>
    <t>Netto rente- og kredittprovisjonsinntekter</t>
  </si>
  <si>
    <t>Annualisert beløp</t>
  </si>
  <si>
    <t>Gjennomsnitlig forvaltningskapital</t>
  </si>
  <si>
    <t>Forvaltningskapital</t>
  </si>
  <si>
    <t>EK-påslag og avkastning Egenkapital SB1 Næringskreditt</t>
  </si>
  <si>
    <t>SUM inntekter</t>
  </si>
  <si>
    <t>Kostnadsprosent inkl egenakpitalpåslag og avkatning på egenkapital SB1 Næringskreditt</t>
  </si>
  <si>
    <t>Innskuddsdekning</t>
  </si>
  <si>
    <t>Netto utlån til kunder</t>
  </si>
  <si>
    <t>Sum inntekter inkl EK-påslag og avkastning EK</t>
  </si>
  <si>
    <t>Utlånsvekst i millioner kroner</t>
  </si>
  <si>
    <t>Utlånsvekst siste 12 mnd</t>
  </si>
  <si>
    <t>Brutto utlån til kunder ved utgangen av perioden</t>
  </si>
  <si>
    <t>Brutto utlån til kunder ved utgangen av samme periode forrige år</t>
  </si>
  <si>
    <t>Gjennomsnittlig forvaltningskapital inneværende år</t>
  </si>
  <si>
    <t>Nøkkeltallet beregnes som et gjennomsnitt av kvartalsvis forvaltningskapital inneværende år.</t>
  </si>
  <si>
    <t>Overført til Sparebank 1 Boligkreditt AS (jfr. note 7)</t>
  </si>
  <si>
    <t>Overført til Sparebank 1 Næringskreditt AS (jfr. note 7)</t>
  </si>
  <si>
    <t>Brutto utlån BN Bank ASA (jfr. note 7)</t>
  </si>
  <si>
    <t>Andel utlån finansiert via innskudd, inklusive utlån solgt til SB1 Boligkreditt og SB1 Næringskreditt</t>
  </si>
  <si>
    <t>Innskudd ved utgangen av perioden</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</si>
  <si>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</si>
  <si>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Tap på utlån i resultatet</t>
  </si>
  <si>
    <t>Forholdstallet presenteres fordi det gir relevant informasjon om bankens kreditteksponering. Beregnes som sum misligholdte  og andre tapsutsatte engasjement dividert med sum utlån ved utløpet av perioden.</t>
  </si>
  <si>
    <t>SUM Misligholdte og øvrig tapsutsatte utlån</t>
  </si>
  <si>
    <t>Brutto mislighold over 90 dager (jfr. note 6)</t>
  </si>
  <si>
    <t>Brutto Øvrig tapsutsatte utlån (jfr. note 6)</t>
  </si>
  <si>
    <t>Delt på snitt. Brutto utlån til kunder</t>
  </si>
  <si>
    <t>Tapsprosent utlån til kunder, inklusive utlån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</si>
  <si>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</si>
  <si>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</si>
  <si>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Renter på Utlån til Bedriftsmarked, bankbalansen, mill kroner</t>
  </si>
  <si>
    <t>Renter på Utlån til Bedriftsmarked, Sparebank 1 Næringskreditt, mill kroner</t>
  </si>
  <si>
    <t>Dager akkumulert</t>
  </si>
  <si>
    <t>3 måneders Nibor, prosent, gjennomsnitt akkumulert</t>
  </si>
  <si>
    <t>Snitt utlånsvolum Bedriftsmarked, bankbalansen, mill kroner</t>
  </si>
  <si>
    <t>Snitt utlånsvolum Bedriftsmarked, Sparebank 1 Næringskreditt, mill kroner</t>
  </si>
  <si>
    <t>Rentemargin, mill kroner</t>
  </si>
  <si>
    <t>Snitt utlånsvolum Personmarked, bankbalansen, mill kroner</t>
  </si>
  <si>
    <t>Renter på Utlån til Personmarked, bankbalansen, mill kroner</t>
  </si>
  <si>
    <t>Snitt utlånsvolum Personmarked, Sparebank 1 Boligkreditt, mill kroner</t>
  </si>
  <si>
    <t>Renter på Utlån til Personmarked, Sparebank 1 Boligkreditt, mill kroner</t>
  </si>
  <si>
    <t>Renter på Innskudd</t>
  </si>
  <si>
    <t>Rentemargin på innskudd, mill kroner</t>
  </si>
  <si>
    <t>Snitt innskuddsvolum, mill kroner</t>
  </si>
  <si>
    <t>Netto eller brutto, hva blir riktig?</t>
  </si>
  <si>
    <t>SUM overførte utlån</t>
  </si>
  <si>
    <t xml:space="preserve">SUM utlån   </t>
  </si>
  <si>
    <t>SUM Utlån BM + PM konsern</t>
  </si>
  <si>
    <t>Beregnet snitt netto utlån konsern</t>
  </si>
  <si>
    <t>Beregnet snitt brutto utlån</t>
  </si>
  <si>
    <t>Beregnet snitt brutto utlån inkl BK/NK</t>
  </si>
  <si>
    <t>Andre inntekter</t>
  </si>
  <si>
    <t>Rentekostnader og lignende kostnader</t>
  </si>
  <si>
    <t>Renter på ustedte verdipapirer, etc</t>
  </si>
  <si>
    <t>Utlånsmargin mot 3 måneders nibor - Privatmarked, prosent</t>
  </si>
  <si>
    <t>Utlånsmargin mot 3 måneders nibor - Næringsliv, prosent</t>
  </si>
  <si>
    <t xml:space="preserve">Innskuddsmargin mot 3 måneders nibor </t>
  </si>
  <si>
    <t>Innskuddsmarginer målt mot 3 måneders Nibor</t>
  </si>
  <si>
    <t>Utlånsmargin Bedriftsmarked og Personmarked målt mot 3 måneders Nibor, inkludet utlån solgt til Sparebank 1 Boligkreditt (SB1 BK) og Sparebank 1 Næringskreditt (SB1 NK).</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</si>
  <si>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</si>
  <si>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</si>
  <si>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</si>
  <si>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</si>
  <si>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Nettoutlån til kunder inkl SB1 Boligkreditt og SB1 Næringskreditt ved utgangen av perioden</t>
  </si>
  <si>
    <t>Netto tapsavsetning</t>
  </si>
  <si>
    <t>Fra regnskapet</t>
  </si>
  <si>
    <t xml:space="preserve">Delt på brutto utlån til kunder </t>
  </si>
  <si>
    <t xml:space="preserve">Misligholdte engasjement i prosent av brutto utlån </t>
  </si>
  <si>
    <t>Kildedataark</t>
  </si>
  <si>
    <t>FO-regnskap</t>
  </si>
  <si>
    <t>rentenettoanalyse</t>
  </si>
  <si>
    <t>Beregnes</t>
  </si>
  <si>
    <t>Mar-ber arket er fasit, diff plugges under "Renter utlån…"</t>
  </si>
  <si>
    <t>Periodens res. annualisert eksklusive renter hybridkapital</t>
  </si>
  <si>
    <t>Delt på snitt egenkapital eksklusive hybridkapital</t>
  </si>
  <si>
    <t>psu, 13.1</t>
  </si>
  <si>
    <t>Som en del av strategien for finansiering av utlån  overfører BN Bank en vesentlig andel av sine utlån til næringseiendom til kredittforetaket Sparebank 1 Næringskreditt, se note 8 i årsrapporten for nærmere beskrivelse. BN Bank forvalter disse utlånene og et viktig internt måltall er derfor kostnadsprosent justert for egenkapitalpåslag og avkastning fra SB1 Næringskreditt. Dette beregnes som ovenfor, men her er inntektene oppjustert med egenkapitalpåslag og avkastning  fra SB1 Næringskreditt.</t>
  </si>
  <si>
    <t>BN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</si>
</sst>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100">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0" fillId="0" borderId="0" xfId="0" applyAlignment="1">
      <alignment horizontal="left" wrapText="1"/>
    </xf>
    <xf numFmtId="0" fontId="2" fillId="2" borderId="0" xfId="0" applyFont="1" applyFill="1" applyBorder="1" applyAlignment="1"/>
    <xf numFmtId="0" fontId="2" fillId="3" borderId="0" xfId="0" applyFont="1" applyFill="1" applyBorder="1" applyAlignment="1"/>
    <xf numFmtId="0" fontId="2" fillId="2" borderId="0" xfId="0" applyFont="1" applyFill="1" applyBorder="1" applyAlignment="1">
      <alignment wrapText="1"/>
    </xf>
    <xf numFmtId="0" fontId="3" fillId="0" borderId="0" xfId="0" applyNumberFormat="1"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0" fillId="0" borderId="0" xfId="0" applyFill="1"/>
    <xf numFmtId="0" fontId="1" fillId="5" borderId="6" xfId="0" applyFont="1" applyFill="1" applyBorder="1" applyAlignment="1">
      <alignment wrapText="1"/>
    </xf>
    <xf numFmtId="0" fontId="1" fillId="5" borderId="5" xfId="0" applyFont="1" applyFill="1" applyBorder="1" applyAlignment="1">
      <alignment wrapText="1"/>
    </xf>
    <xf numFmtId="165" fontId="6" fillId="4" borderId="5" xfId="2" applyNumberFormat="1" applyFont="1" applyFill="1" applyBorder="1"/>
    <xf numFmtId="0" fontId="8" fillId="0" borderId="0" xfId="0" applyFont="1"/>
    <xf numFmtId="0" fontId="8" fillId="0" borderId="0" xfId="0" applyFont="1" applyBorder="1"/>
    <xf numFmtId="43" fontId="8" fillId="0" borderId="0" xfId="0" applyNumberFormat="1" applyFont="1"/>
    <xf numFmtId="0" fontId="8" fillId="0" borderId="0" xfId="0" applyFont="1" applyFill="1"/>
    <xf numFmtId="165" fontId="6" fillId="5" borderId="5" xfId="2" applyNumberFormat="1" applyFont="1" applyFill="1" applyBorder="1"/>
    <xf numFmtId="10" fontId="6" fillId="5" borderId="6" xfId="2" applyNumberFormat="1" applyFont="1" applyFill="1" applyBorder="1"/>
    <xf numFmtId="10" fontId="6" fillId="5" borderId="5" xfId="2" applyNumberFormat="1" applyFont="1" applyFill="1" applyBorder="1"/>
    <xf numFmtId="0" fontId="2" fillId="0" borderId="0" xfId="0" applyFont="1"/>
    <xf numFmtId="0" fontId="2" fillId="0" borderId="0" xfId="0" applyFont="1" applyBorder="1"/>
    <xf numFmtId="0" fontId="2" fillId="0" borderId="0" xfId="0" applyFont="1" applyFill="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0" fontId="0" fillId="0" borderId="0" xfId="0" applyAlignment="1">
      <alignment horizontal="left" wrapText="1"/>
    </xf>
    <xf numFmtId="165" fontId="6" fillId="5" borderId="6" xfId="2" applyNumberFormat="1" applyFont="1" applyFill="1" applyBorder="1"/>
    <xf numFmtId="0" fontId="1" fillId="0" borderId="1" xfId="0" applyFont="1" applyBorder="1" applyAlignment="1"/>
    <xf numFmtId="0" fontId="0" fillId="0" borderId="0" xfId="0" applyAlignment="1"/>
    <xf numFmtId="0" fontId="0" fillId="0" borderId="2" xfId="0" applyBorder="1" applyAlignment="1"/>
    <xf numFmtId="0" fontId="0" fillId="0" borderId="3" xfId="0" applyBorder="1" applyAlignment="1"/>
    <xf numFmtId="0" fontId="1" fillId="4" borderId="4" xfId="0" applyFont="1" applyFill="1" applyBorder="1" applyAlignment="1"/>
    <xf numFmtId="0" fontId="0" fillId="0" borderId="0" xfId="0" applyFill="1" applyAlignment="1"/>
    <xf numFmtId="0" fontId="0" fillId="0" borderId="1" xfId="0" applyBorder="1" applyAlignment="1"/>
    <xf numFmtId="0" fontId="1" fillId="5" borderId="6" xfId="0" applyFont="1" applyFill="1" applyBorder="1" applyAlignment="1"/>
    <xf numFmtId="0" fontId="1" fillId="5" borderId="5" xfId="0" applyFont="1" applyFill="1" applyBorder="1" applyAlignment="1"/>
    <xf numFmtId="9" fontId="6" fillId="5" borderId="6" xfId="2" applyFont="1" applyFill="1" applyBorder="1" applyAlignment="1"/>
    <xf numFmtId="0" fontId="2" fillId="0" borderId="0" xfId="0" applyFont="1" applyAlignment="1"/>
    <xf numFmtId="0" fontId="2" fillId="0" borderId="1" xfId="0" applyFont="1" applyBorder="1" applyAlignment="1"/>
    <xf numFmtId="10" fontId="2" fillId="0" borderId="0" xfId="2" applyNumberFormat="1" applyFont="1"/>
    <xf numFmtId="0" fontId="2" fillId="0" borderId="0" xfId="0" applyFont="1" applyFill="1" applyAlignment="1"/>
    <xf numFmtId="0" fontId="1" fillId="0" borderId="7" xfId="0" applyFont="1" applyFill="1" applyBorder="1" applyAlignment="1"/>
    <xf numFmtId="165" fontId="6" fillId="0" borderId="7" xfId="2" applyNumberFormat="1" applyFont="1" applyFill="1" applyBorder="1"/>
    <xf numFmtId="0" fontId="0" fillId="0" borderId="0" xfId="0" applyFill="1" applyBorder="1"/>
    <xf numFmtId="165" fontId="9" fillId="0" borderId="7" xfId="2" applyNumberFormat="1" applyFont="1" applyFill="1" applyBorder="1"/>
    <xf numFmtId="0" fontId="10" fillId="0" borderId="0" xfId="0" applyFont="1" applyFill="1" applyAlignment="1"/>
    <xf numFmtId="10" fontId="10" fillId="0" borderId="0" xfId="2" applyNumberFormat="1" applyFont="1"/>
    <xf numFmtId="0" fontId="10" fillId="0" borderId="0" xfId="0" applyFont="1" applyFill="1"/>
    <xf numFmtId="0" fontId="0" fillId="0" borderId="0" xfId="0" applyAlignment="1">
      <alignment horizontal="left" wrapText="1"/>
    </xf>
    <xf numFmtId="0" fontId="0" fillId="0" borderId="0" xfId="0" applyFont="1" applyAlignment="1">
      <alignment horizontal="left" wrapText="1"/>
    </xf>
    <xf numFmtId="0" fontId="2" fillId="2" borderId="8" xfId="0" applyFont="1" applyFill="1" applyBorder="1" applyAlignment="1"/>
    <xf numFmtId="0" fontId="0" fillId="0" borderId="0" xfId="0" applyBorder="1" applyAlignment="1">
      <alignment horizontal="left" wrapText="1"/>
    </xf>
    <xf numFmtId="0" fontId="0" fillId="0" borderId="0" xfId="0" applyFill="1" applyBorder="1" applyAlignment="1"/>
    <xf numFmtId="164" fontId="6" fillId="5" borderId="6" xfId="1" applyNumberFormat="1" applyFont="1" applyFill="1" applyBorder="1"/>
    <xf numFmtId="0" fontId="6" fillId="0" borderId="0" xfId="0" applyFont="1" applyFill="1" applyBorder="1" applyAlignment="1"/>
    <xf numFmtId="10" fontId="11" fillId="0" borderId="0" xfId="2" applyNumberFormat="1" applyFont="1" applyFill="1" applyBorder="1"/>
    <xf numFmtId="10" fontId="6" fillId="0" borderId="0" xfId="2" applyNumberFormat="1" applyFont="1" applyFill="1" applyBorder="1"/>
    <xf numFmtId="0" fontId="6" fillId="0" borderId="0" xfId="0" applyFont="1" applyFill="1"/>
    <xf numFmtId="4" fontId="10" fillId="0" borderId="0" xfId="0" applyNumberFormat="1" applyFont="1" applyFill="1"/>
    <xf numFmtId="4" fontId="2" fillId="0" borderId="0" xfId="0" applyNumberFormat="1" applyFont="1" applyFill="1"/>
    <xf numFmtId="0" fontId="2" fillId="0" borderId="1" xfId="0" applyFont="1" applyFill="1" applyBorder="1" applyAlignment="1"/>
    <xf numFmtId="10" fontId="10" fillId="0" borderId="0" xfId="2" applyNumberFormat="1" applyFont="1" applyFill="1"/>
    <xf numFmtId="10" fontId="2" fillId="0" borderId="0" xfId="2" applyNumberFormat="1" applyFont="1" applyFill="1"/>
    <xf numFmtId="0" fontId="1" fillId="0" borderId="0" xfId="0" applyFont="1" applyFill="1"/>
    <xf numFmtId="164" fontId="10" fillId="0" borderId="0" xfId="1" applyNumberFormat="1" applyFont="1" applyFill="1"/>
    <xf numFmtId="164" fontId="10" fillId="0" borderId="1" xfId="1" applyNumberFormat="1" applyFont="1" applyFill="1" applyBorder="1"/>
    <xf numFmtId="164" fontId="8" fillId="0" borderId="0" xfId="0" applyNumberFormat="1" applyFont="1" applyFill="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0" fontId="0" fillId="0" borderId="0" xfId="0" applyFill="1" applyAlignment="1">
      <alignment horizontal="left"/>
    </xf>
    <xf numFmtId="0" fontId="0" fillId="0" borderId="1" xfId="0" applyFill="1" applyBorder="1" applyAlignment="1"/>
    <xf numFmtId="164" fontId="2" fillId="0" borderId="1" xfId="1" applyNumberFormat="1" applyFont="1" applyFill="1" applyBorder="1"/>
    <xf numFmtId="164" fontId="5" fillId="0" borderId="0" xfId="1" applyNumberFormat="1" applyFont="1" applyFill="1"/>
    <xf numFmtId="164" fontId="2" fillId="0" borderId="1" xfId="0" applyNumberFormat="1" applyFont="1" applyFill="1" applyBorder="1"/>
    <xf numFmtId="164" fontId="2" fillId="0" borderId="0" xfId="1" applyNumberFormat="1" applyFont="1" applyFill="1" applyBorder="1"/>
    <xf numFmtId="164" fontId="2" fillId="0" borderId="0" xfId="0" applyNumberFormat="1" applyFont="1" applyFill="1"/>
    <xf numFmtId="164" fontId="8" fillId="0" borderId="0" xfId="1" applyNumberFormat="1" applyFont="1" applyFill="1" applyBorder="1"/>
    <xf numFmtId="0" fontId="0" fillId="7" borderId="0" xfId="0" applyFill="1"/>
    <xf numFmtId="0" fontId="0" fillId="0" borderId="1" xfId="0" applyFont="1" applyBorder="1"/>
    <xf numFmtId="0" fontId="0" fillId="0" borderId="0" xfId="0" applyFont="1"/>
    <xf numFmtId="0" fontId="0" fillId="3" borderId="0" xfId="0" applyFont="1" applyFill="1"/>
    <xf numFmtId="0" fontId="0" fillId="0" borderId="0" xfId="0" applyFont="1" applyFill="1"/>
    <xf numFmtId="0" fontId="0" fillId="8" borderId="0" xfId="0" applyFill="1"/>
    <xf numFmtId="164" fontId="2" fillId="0" borderId="0" xfId="1" applyNumberFormat="1" applyFont="1"/>
    <xf numFmtId="164" fontId="8" fillId="0" borderId="0" xfId="1" applyNumberFormat="1" applyFont="1"/>
    <xf numFmtId="165" fontId="9" fillId="0" borderId="7" xfId="2" applyNumberFormat="1" applyFont="1" applyBorder="1"/>
    <xf numFmtId="164" fontId="2" fillId="0" borderId="0" xfId="0" applyNumberFormat="1" applyFont="1"/>
    <xf numFmtId="164" fontId="2" fillId="0" borderId="1" xfId="0" applyNumberFormat="1" applyFont="1" applyBorder="1"/>
    <xf numFmtId="164" fontId="10" fillId="0" borderId="0" xfId="1" applyNumberFormat="1" applyFont="1"/>
    <xf numFmtId="0" fontId="0" fillId="0" borderId="1" xfId="0" applyFill="1" applyBorder="1" applyAlignment="1">
      <alignment wrapText="1"/>
    </xf>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3">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0" indent="0" justifyLastLine="0" shrinkToFit="0" readingOrder="0"/>
      <border diagonalUp="0" diagonalDown="0">
        <left/>
        <right/>
        <top/>
        <bottom style="medium">
          <color indexed="55"/>
        </bottom>
        <vertical/>
        <horizontal/>
      </border>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3" totalsRowShown="0" dataDxfId="2">
  <autoFilter ref="A5:B23"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zoomScaleNormal="100" workbookViewId="0">
      <selection activeCell="B10" sqref="B10"/>
    </sheetView>
  </sheetViews>
  <sheetFormatPr baseColWidth="10" defaultColWidth="11.42578125" defaultRowHeight="15" x14ac:dyDescent="0.25"/>
  <cols>
    <col min="1" max="1" width="54.85546875" customWidth="1"/>
    <col min="2" max="2" width="112.140625" customWidth="1"/>
  </cols>
  <sheetData>
    <row r="1" spans="1:4" ht="18.75" x14ac:dyDescent="0.3">
      <c r="A1" s="8" t="s">
        <v>2</v>
      </c>
      <c r="C1" s="15"/>
      <c r="D1" s="15"/>
    </row>
    <row r="2" spans="1:4" s="2" customFormat="1" ht="54.75" customHeight="1" x14ac:dyDescent="0.25">
      <c r="A2" s="99" t="s">
        <v>115</v>
      </c>
      <c r="B2" s="99"/>
      <c r="C2" s="78"/>
      <c r="D2" s="78"/>
    </row>
    <row r="3" spans="1:4" ht="33" customHeight="1" x14ac:dyDescent="0.25">
      <c r="A3" s="99" t="s">
        <v>114</v>
      </c>
      <c r="B3" s="99"/>
      <c r="C3" s="15"/>
      <c r="D3" s="15"/>
    </row>
    <row r="4" spans="1:4" ht="33" customHeight="1" x14ac:dyDescent="0.25">
      <c r="A4" s="4"/>
      <c r="B4" s="4"/>
    </row>
    <row r="5" spans="1:4" x14ac:dyDescent="0.25">
      <c r="A5" s="3" t="s">
        <v>28</v>
      </c>
      <c r="B5" s="3" t="s">
        <v>1</v>
      </c>
    </row>
    <row r="6" spans="1:4" ht="60" customHeight="1" x14ac:dyDescent="0.25">
      <c r="A6" s="5" t="s">
        <v>29</v>
      </c>
      <c r="B6" s="4" t="s">
        <v>30</v>
      </c>
    </row>
    <row r="7" spans="1:4" ht="44.25" customHeight="1" x14ac:dyDescent="0.25">
      <c r="A7" s="6" t="s">
        <v>31</v>
      </c>
      <c r="B7" s="4" t="s">
        <v>32</v>
      </c>
    </row>
    <row r="8" spans="1:4" ht="42.75" customHeight="1" x14ac:dyDescent="0.25">
      <c r="A8" s="5" t="s">
        <v>12</v>
      </c>
      <c r="B8" s="55" t="s">
        <v>33</v>
      </c>
    </row>
    <row r="9" spans="1:4" ht="75" x14ac:dyDescent="0.25">
      <c r="A9" s="7" t="s">
        <v>34</v>
      </c>
      <c r="B9" s="55" t="s">
        <v>129</v>
      </c>
    </row>
    <row r="10" spans="1:4" ht="33" customHeight="1" x14ac:dyDescent="0.25">
      <c r="A10" s="5" t="s">
        <v>35</v>
      </c>
      <c r="B10" s="4" t="s">
        <v>37</v>
      </c>
      <c r="C10" s="1"/>
    </row>
    <row r="11" spans="1:4" ht="47.25" customHeight="1" thickBot="1" x14ac:dyDescent="0.3">
      <c r="A11" s="57" t="s">
        <v>40</v>
      </c>
      <c r="B11" s="55" t="s">
        <v>41</v>
      </c>
      <c r="C11" s="55"/>
    </row>
    <row r="12" spans="1:4" ht="47.25" customHeight="1" x14ac:dyDescent="0.25">
      <c r="A12" s="7" t="s">
        <v>23</v>
      </c>
      <c r="B12" s="55" t="s">
        <v>39</v>
      </c>
      <c r="C12" s="55"/>
    </row>
    <row r="13" spans="1:4" x14ac:dyDescent="0.25">
      <c r="A13" s="7" t="s">
        <v>42</v>
      </c>
      <c r="B13" s="4" t="s">
        <v>67</v>
      </c>
    </row>
    <row r="14" spans="1:4" ht="30.75" thickBot="1" x14ac:dyDescent="0.3">
      <c r="A14" s="57" t="s">
        <v>43</v>
      </c>
      <c r="B14" s="55" t="s">
        <v>44</v>
      </c>
    </row>
    <row r="15" spans="1:4" ht="60" x14ac:dyDescent="0.25">
      <c r="A15" s="7" t="s">
        <v>46</v>
      </c>
      <c r="B15" s="32" t="s">
        <v>45</v>
      </c>
    </row>
    <row r="16" spans="1:4" ht="105" x14ac:dyDescent="0.25">
      <c r="A16" s="7" t="s">
        <v>47</v>
      </c>
      <c r="B16" s="55" t="s">
        <v>48</v>
      </c>
    </row>
    <row r="17" spans="1:3" ht="45" x14ac:dyDescent="0.25">
      <c r="A17" s="7" t="s">
        <v>36</v>
      </c>
      <c r="B17" s="55" t="s">
        <v>38</v>
      </c>
    </row>
    <row r="18" spans="1:3" ht="45" x14ac:dyDescent="0.25">
      <c r="A18" s="5" t="s">
        <v>0</v>
      </c>
      <c r="B18" s="55" t="s">
        <v>82</v>
      </c>
    </row>
    <row r="19" spans="1:3" ht="47.25" customHeight="1" x14ac:dyDescent="0.25">
      <c r="A19" s="7" t="s">
        <v>49</v>
      </c>
      <c r="B19" s="55" t="s">
        <v>75</v>
      </c>
    </row>
    <row r="20" spans="1:3" ht="60" x14ac:dyDescent="0.25">
      <c r="A20" s="7" t="s">
        <v>50</v>
      </c>
      <c r="B20" s="4" t="s">
        <v>81</v>
      </c>
    </row>
    <row r="21" spans="1:3" ht="46.5" customHeight="1" x14ac:dyDescent="0.25">
      <c r="A21" s="7" t="s">
        <v>51</v>
      </c>
      <c r="B21" s="4" t="s">
        <v>73</v>
      </c>
    </row>
    <row r="22" spans="1:3" ht="90" x14ac:dyDescent="0.25">
      <c r="A22" s="7" t="s">
        <v>111</v>
      </c>
      <c r="B22" s="56" t="s">
        <v>112</v>
      </c>
      <c r="C22" s="15"/>
    </row>
    <row r="23" spans="1:3" ht="60" x14ac:dyDescent="0.25">
      <c r="A23" s="5" t="s">
        <v>110</v>
      </c>
      <c r="B23" s="58" t="s">
        <v>113</v>
      </c>
      <c r="C23" s="15"/>
    </row>
    <row r="24" spans="1:3" x14ac:dyDescent="0.25">
      <c r="A24" s="9"/>
    </row>
    <row r="25" spans="1:3" x14ac:dyDescent="0.25">
      <c r="A25" s="9"/>
    </row>
    <row r="26" spans="1:3" x14ac:dyDescent="0.25">
      <c r="A26" s="10"/>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74"/>
  <sheetViews>
    <sheetView tabSelected="1" zoomScale="110" zoomScaleNormal="110" workbookViewId="0">
      <pane xSplit="1" ySplit="1" topLeftCell="B139" activePane="bottomRight" state="frozen"/>
      <selection activeCell="B1" activeCellId="1" sqref="B3 B1:B1048576"/>
      <selection pane="topRight" activeCell="B1" activeCellId="1" sqref="B3 B1:B1048576"/>
      <selection pane="bottomLeft" activeCell="B1" activeCellId="1" sqref="B3 B1:B1048576"/>
      <selection pane="bottomRight" activeCell="A3" sqref="A3"/>
    </sheetView>
  </sheetViews>
  <sheetFormatPr baseColWidth="10" defaultColWidth="11.42578125" defaultRowHeight="15" x14ac:dyDescent="0.25"/>
  <cols>
    <col min="1" max="1" width="74.42578125" style="35" customWidth="1"/>
    <col min="2" max="10" width="18" style="19" customWidth="1"/>
    <col min="11" max="11" width="18" style="26" customWidth="1"/>
    <col min="12" max="12" width="11.42578125" style="88" customWidth="1"/>
    <col min="13" max="13" width="11.42578125" style="86"/>
  </cols>
  <sheetData>
    <row r="1" spans="1:13" s="14" customFormat="1" x14ac:dyDescent="0.25">
      <c r="A1" s="34" t="s">
        <v>130</v>
      </c>
      <c r="B1" s="29">
        <v>44651</v>
      </c>
      <c r="C1" s="29">
        <v>44561</v>
      </c>
      <c r="D1" s="29">
        <v>44469</v>
      </c>
      <c r="E1" s="29">
        <v>44377</v>
      </c>
      <c r="F1" s="29">
        <v>44286</v>
      </c>
      <c r="G1" s="29">
        <v>44196</v>
      </c>
      <c r="H1" s="29">
        <v>44104</v>
      </c>
      <c r="I1" s="29">
        <v>44012</v>
      </c>
      <c r="J1" s="29">
        <v>43921</v>
      </c>
      <c r="K1" s="29">
        <v>43830</v>
      </c>
      <c r="L1" s="87"/>
    </row>
    <row r="2" spans="1:13" x14ac:dyDescent="0.25">
      <c r="M2"/>
    </row>
    <row r="3" spans="1:13" x14ac:dyDescent="0.25">
      <c r="A3" s="36"/>
      <c r="C3" s="20"/>
      <c r="D3" s="20"/>
      <c r="E3" s="20"/>
      <c r="F3" s="20"/>
      <c r="G3" s="20"/>
      <c r="H3" s="20"/>
      <c r="I3" s="20"/>
      <c r="J3" s="20"/>
      <c r="K3" s="27"/>
      <c r="M3"/>
    </row>
    <row r="4" spans="1:13" x14ac:dyDescent="0.25">
      <c r="A4" s="36" t="s">
        <v>3</v>
      </c>
      <c r="B4" s="92">
        <v>143</v>
      </c>
      <c r="C4" s="83">
        <v>478</v>
      </c>
      <c r="D4" s="83">
        <v>356</v>
      </c>
      <c r="E4" s="83">
        <v>239</v>
      </c>
      <c r="F4" s="83">
        <v>117</v>
      </c>
      <c r="G4" s="83">
        <v>354</v>
      </c>
      <c r="H4" s="83">
        <v>249</v>
      </c>
      <c r="I4" s="83">
        <v>150</v>
      </c>
      <c r="J4" s="83">
        <v>69</v>
      </c>
      <c r="K4" s="83">
        <v>327</v>
      </c>
      <c r="M4" s="91" t="s">
        <v>128</v>
      </c>
    </row>
    <row r="5" spans="1:13" x14ac:dyDescent="0.25">
      <c r="A5" s="37" t="s">
        <v>4</v>
      </c>
      <c r="B5" s="12">
        <v>3</v>
      </c>
      <c r="C5" s="80">
        <v>10</v>
      </c>
      <c r="D5" s="80">
        <v>7</v>
      </c>
      <c r="E5" s="80">
        <v>5</v>
      </c>
      <c r="F5" s="80">
        <v>2</v>
      </c>
      <c r="G5" s="80">
        <v>11</v>
      </c>
      <c r="H5" s="80">
        <v>8</v>
      </c>
      <c r="I5" s="80">
        <v>6</v>
      </c>
      <c r="J5" s="80">
        <v>3</v>
      </c>
      <c r="K5" s="80">
        <v>14</v>
      </c>
      <c r="M5" s="91"/>
    </row>
    <row r="6" spans="1:13" x14ac:dyDescent="0.25">
      <c r="A6" s="36" t="s">
        <v>5</v>
      </c>
      <c r="B6" s="92">
        <f>B4-B5</f>
        <v>140</v>
      </c>
      <c r="C6" s="83">
        <f>C4-C5</f>
        <v>468</v>
      </c>
      <c r="D6" s="83">
        <v>349</v>
      </c>
      <c r="E6" s="83">
        <v>234</v>
      </c>
      <c r="F6" s="83">
        <v>115</v>
      </c>
      <c r="G6" s="83">
        <f t="shared" ref="G6:K6" si="0">G4-G5</f>
        <v>343</v>
      </c>
      <c r="H6" s="83">
        <f t="shared" si="0"/>
        <v>241</v>
      </c>
      <c r="I6" s="83">
        <f t="shared" si="0"/>
        <v>144</v>
      </c>
      <c r="J6" s="83">
        <f t="shared" si="0"/>
        <v>66</v>
      </c>
      <c r="K6" s="83">
        <f t="shared" si="0"/>
        <v>313</v>
      </c>
      <c r="M6" s="91"/>
    </row>
    <row r="7" spans="1:13" x14ac:dyDescent="0.25">
      <c r="A7" s="36"/>
      <c r="B7" s="92"/>
      <c r="C7" s="83"/>
      <c r="D7" s="83"/>
      <c r="E7" s="83"/>
      <c r="F7" s="83"/>
      <c r="G7" s="85"/>
      <c r="H7" s="85"/>
      <c r="I7" s="85"/>
      <c r="J7" s="83"/>
      <c r="K7" s="83"/>
      <c r="M7" s="91"/>
    </row>
    <row r="8" spans="1:13" x14ac:dyDescent="0.25">
      <c r="A8" s="36" t="s">
        <v>6</v>
      </c>
      <c r="B8" s="92">
        <v>5255</v>
      </c>
      <c r="C8" s="83">
        <v>5017</v>
      </c>
      <c r="D8" s="83">
        <v>4896</v>
      </c>
      <c r="E8" s="83">
        <v>4782</v>
      </c>
      <c r="F8" s="83">
        <v>4664</v>
      </c>
      <c r="G8" s="83">
        <v>4549</v>
      </c>
      <c r="H8" s="83">
        <v>4444</v>
      </c>
      <c r="I8" s="83">
        <v>4342</v>
      </c>
      <c r="J8" s="83">
        <v>4259</v>
      </c>
      <c r="K8" s="83">
        <v>4297</v>
      </c>
      <c r="M8" s="91"/>
    </row>
    <row r="9" spans="1:13" x14ac:dyDescent="0.25">
      <c r="A9" s="37" t="s">
        <v>7</v>
      </c>
      <c r="B9" s="12">
        <v>325</v>
      </c>
      <c r="C9" s="80">
        <v>225</v>
      </c>
      <c r="D9" s="80">
        <v>225</v>
      </c>
      <c r="E9" s="80">
        <v>225</v>
      </c>
      <c r="F9" s="80">
        <v>225</v>
      </c>
      <c r="G9" s="80">
        <v>226</v>
      </c>
      <c r="H9" s="80">
        <v>226</v>
      </c>
      <c r="I9" s="80">
        <v>226</v>
      </c>
      <c r="J9" s="80">
        <v>227</v>
      </c>
      <c r="K9" s="80">
        <v>227</v>
      </c>
      <c r="M9" s="91"/>
    </row>
    <row r="10" spans="1:13" x14ac:dyDescent="0.25">
      <c r="A10" s="36" t="s">
        <v>8</v>
      </c>
      <c r="B10" s="92">
        <f>B8-B9</f>
        <v>4930</v>
      </c>
      <c r="C10" s="83">
        <f t="shared" ref="C10" si="1">C8-C9</f>
        <v>4792</v>
      </c>
      <c r="D10" s="83">
        <v>4671</v>
      </c>
      <c r="E10" s="83">
        <v>4557</v>
      </c>
      <c r="F10" s="83">
        <v>4439</v>
      </c>
      <c r="G10" s="83">
        <f t="shared" ref="G10" si="2">G8-G9</f>
        <v>4323</v>
      </c>
      <c r="H10" s="83">
        <f t="shared" ref="H10" si="3">H8-H9</f>
        <v>4218</v>
      </c>
      <c r="I10" s="83">
        <f t="shared" ref="I10:K10" si="4">I8-I9</f>
        <v>4116</v>
      </c>
      <c r="J10" s="83">
        <f t="shared" si="4"/>
        <v>4032</v>
      </c>
      <c r="K10" s="83">
        <f t="shared" si="4"/>
        <v>4070</v>
      </c>
      <c r="M10" s="91"/>
    </row>
    <row r="11" spans="1:13" x14ac:dyDescent="0.25">
      <c r="A11" s="36"/>
      <c r="B11" s="92"/>
      <c r="C11" s="83"/>
      <c r="D11" s="83"/>
      <c r="E11" s="83"/>
      <c r="F11" s="83"/>
      <c r="G11" s="85"/>
      <c r="H11" s="85"/>
      <c r="I11" s="85"/>
      <c r="J11" s="83"/>
      <c r="K11" s="83"/>
      <c r="M11" s="91"/>
    </row>
    <row r="12" spans="1:13" x14ac:dyDescent="0.25">
      <c r="A12" s="36" t="s">
        <v>10</v>
      </c>
      <c r="B12" s="92">
        <f>(C10+B10)/2</f>
        <v>4861</v>
      </c>
      <c r="C12" s="83">
        <f>AVERAGE(C10:G10)</f>
        <v>4556.3999999999996</v>
      </c>
      <c r="D12" s="83">
        <v>4496.75</v>
      </c>
      <c r="E12" s="83">
        <v>4439</v>
      </c>
      <c r="F12" s="83">
        <v>4380.5</v>
      </c>
      <c r="G12" s="83">
        <f>(G10+I10+H10+J10+K10)/5</f>
        <v>4151.8</v>
      </c>
      <c r="H12" s="83">
        <f>(H10+J10+I10+K10)/4</f>
        <v>4109</v>
      </c>
      <c r="I12" s="83">
        <f>(I10+K10+J10)/3</f>
        <v>4072.6666666666665</v>
      </c>
      <c r="J12" s="83">
        <f>(J10+K10)/2</f>
        <v>4051</v>
      </c>
      <c r="K12" s="83">
        <v>3909</v>
      </c>
      <c r="M12" s="91"/>
    </row>
    <row r="13" spans="1:13" x14ac:dyDescent="0.25">
      <c r="A13" s="36"/>
      <c r="B13" s="93"/>
      <c r="C13" s="85"/>
      <c r="D13" s="85"/>
      <c r="E13" s="85"/>
      <c r="F13" s="85"/>
      <c r="G13" s="83"/>
      <c r="H13" s="85"/>
      <c r="I13" s="85"/>
      <c r="J13" s="85"/>
      <c r="K13" s="83"/>
      <c r="M13" s="91"/>
    </row>
    <row r="14" spans="1:13" x14ac:dyDescent="0.25">
      <c r="A14" s="36" t="s">
        <v>126</v>
      </c>
      <c r="B14" s="92">
        <f>B6*4</f>
        <v>560</v>
      </c>
      <c r="C14" s="83">
        <f>C6/4*4</f>
        <v>468</v>
      </c>
      <c r="D14" s="83">
        <v>465.33333333333331</v>
      </c>
      <c r="E14" s="83">
        <v>468</v>
      </c>
      <c r="F14" s="83">
        <v>460</v>
      </c>
      <c r="G14" s="83">
        <f>G6/4*4</f>
        <v>343</v>
      </c>
      <c r="H14" s="83">
        <f>H6/3*4</f>
        <v>321.33333333333331</v>
      </c>
      <c r="I14" s="83">
        <f>I6*2</f>
        <v>288</v>
      </c>
      <c r="J14" s="83">
        <f>J6*4</f>
        <v>264</v>
      </c>
      <c r="K14" s="83">
        <f>+K6</f>
        <v>313</v>
      </c>
      <c r="M14" s="91"/>
    </row>
    <row r="15" spans="1:13" x14ac:dyDescent="0.25">
      <c r="A15" s="37" t="s">
        <v>127</v>
      </c>
      <c r="B15" s="12">
        <f>B12</f>
        <v>4861</v>
      </c>
      <c r="C15" s="80">
        <f>C12</f>
        <v>4556.3999999999996</v>
      </c>
      <c r="D15" s="80">
        <v>4496.75</v>
      </c>
      <c r="E15" s="80">
        <v>4439</v>
      </c>
      <c r="F15" s="80">
        <v>4380.5</v>
      </c>
      <c r="G15" s="80">
        <f t="shared" ref="G15" si="5">G12</f>
        <v>4151.8</v>
      </c>
      <c r="H15" s="80">
        <f t="shared" ref="H15" si="6">H12</f>
        <v>4109</v>
      </c>
      <c r="I15" s="80">
        <f t="shared" ref="I15:J15" si="7">I12</f>
        <v>4072.6666666666665</v>
      </c>
      <c r="J15" s="80">
        <f t="shared" si="7"/>
        <v>4051</v>
      </c>
      <c r="K15" s="80">
        <f t="shared" ref="K15" si="8">K12</f>
        <v>3909</v>
      </c>
      <c r="M15" s="91"/>
    </row>
    <row r="16" spans="1:13" ht="15.75" thickBot="1" x14ac:dyDescent="0.3">
      <c r="A16" s="38" t="s">
        <v>9</v>
      </c>
      <c r="B16" s="18">
        <f>B14/B15</f>
        <v>0.11520263320304464</v>
      </c>
      <c r="C16" s="18">
        <f>C14/C15</f>
        <v>0.10271266789570714</v>
      </c>
      <c r="D16" s="18">
        <v>0.10348214451177702</v>
      </c>
      <c r="E16" s="18">
        <v>0.10642915070961928</v>
      </c>
      <c r="F16" s="18">
        <v>0.10501084351101472</v>
      </c>
      <c r="G16" s="18">
        <f>G14/G15</f>
        <v>8.2614769497567311E-2</v>
      </c>
      <c r="H16" s="18">
        <f>H14/H15</f>
        <v>7.820232011032692E-2</v>
      </c>
      <c r="I16" s="18">
        <f>I14/I15</f>
        <v>7.0715338025863481E-2</v>
      </c>
      <c r="J16" s="18">
        <f t="shared" ref="J16:K16" si="9">J14/J15</f>
        <v>6.5169094050851639E-2</v>
      </c>
      <c r="K16" s="18">
        <f t="shared" si="9"/>
        <v>8.0071629572780759E-2</v>
      </c>
      <c r="M16" s="91"/>
    </row>
    <row r="17" spans="1:14" s="50" customFormat="1" x14ac:dyDescent="0.25">
      <c r="A17" s="48"/>
      <c r="B17" s="94"/>
      <c r="C17" s="51"/>
      <c r="D17" s="51"/>
      <c r="E17" s="51"/>
      <c r="F17" s="51"/>
      <c r="G17" s="51"/>
      <c r="H17" s="51"/>
      <c r="I17" s="51"/>
      <c r="J17" s="51"/>
      <c r="K17" s="49"/>
      <c r="L17" s="88"/>
      <c r="M17" s="91"/>
      <c r="N17"/>
    </row>
    <row r="18" spans="1:14" x14ac:dyDescent="0.25">
      <c r="M18" s="91"/>
    </row>
    <row r="19" spans="1:14" x14ac:dyDescent="0.25">
      <c r="A19" s="59" t="s">
        <v>52</v>
      </c>
      <c r="B19" s="92">
        <v>207</v>
      </c>
      <c r="C19" s="83">
        <v>712</v>
      </c>
      <c r="D19" s="83">
        <v>529</v>
      </c>
      <c r="E19" s="83">
        <v>352</v>
      </c>
      <c r="F19" s="83">
        <v>171</v>
      </c>
      <c r="G19" s="83">
        <v>671</v>
      </c>
      <c r="H19" s="83">
        <f>335+166</f>
        <v>501</v>
      </c>
      <c r="I19" s="83">
        <f>177+158</f>
        <v>335</v>
      </c>
      <c r="J19" s="83">
        <v>177</v>
      </c>
      <c r="K19" s="83">
        <v>630</v>
      </c>
      <c r="M19" s="91"/>
    </row>
    <row r="20" spans="1:14" x14ac:dyDescent="0.25">
      <c r="A20" s="59" t="s">
        <v>53</v>
      </c>
      <c r="B20" s="95">
        <f>B19*4</f>
        <v>828</v>
      </c>
      <c r="C20" s="84">
        <f>+C19/4*4</f>
        <v>712</v>
      </c>
      <c r="D20" s="84">
        <v>705.33333333333337</v>
      </c>
      <c r="E20" s="84">
        <v>704</v>
      </c>
      <c r="F20" s="84">
        <v>684</v>
      </c>
      <c r="G20" s="84">
        <f>+G19</f>
        <v>671</v>
      </c>
      <c r="H20" s="84">
        <f>+H19/3*4</f>
        <v>668</v>
      </c>
      <c r="I20" s="84">
        <f>+I19*2</f>
        <v>670</v>
      </c>
      <c r="J20" s="84">
        <f>+J19*4</f>
        <v>708</v>
      </c>
      <c r="K20" s="84">
        <f>+K19</f>
        <v>630</v>
      </c>
      <c r="M20" s="91"/>
    </row>
    <row r="21" spans="1:14" x14ac:dyDescent="0.25">
      <c r="C21" s="22"/>
      <c r="D21" s="22"/>
      <c r="E21" s="22"/>
      <c r="F21" s="22"/>
      <c r="G21" s="22"/>
      <c r="H21" s="22"/>
      <c r="I21" s="22"/>
      <c r="J21" s="22"/>
      <c r="K21" s="28"/>
      <c r="M21" s="91"/>
    </row>
    <row r="22" spans="1:14" x14ac:dyDescent="0.25">
      <c r="A22" s="35" t="s">
        <v>55</v>
      </c>
      <c r="B22" s="92">
        <v>42965</v>
      </c>
      <c r="C22" s="83">
        <v>41876</v>
      </c>
      <c r="D22" s="83">
        <v>40482</v>
      </c>
      <c r="E22" s="83">
        <v>38202</v>
      </c>
      <c r="F22" s="83">
        <v>36797</v>
      </c>
      <c r="G22" s="83">
        <v>35767</v>
      </c>
      <c r="H22" s="83">
        <v>34871</v>
      </c>
      <c r="I22" s="83">
        <v>33816</v>
      </c>
      <c r="J22" s="83">
        <v>33303</v>
      </c>
      <c r="K22" s="83">
        <v>31917</v>
      </c>
      <c r="M22" s="91"/>
    </row>
    <row r="23" spans="1:14" x14ac:dyDescent="0.25">
      <c r="A23" s="35" t="s">
        <v>54</v>
      </c>
      <c r="B23" s="92">
        <f>(B22+C22)/2</f>
        <v>42420.5</v>
      </c>
      <c r="C23" s="83">
        <f>AVERAGE(C22:G22)</f>
        <v>38624.800000000003</v>
      </c>
      <c r="D23" s="83">
        <v>37812</v>
      </c>
      <c r="E23" s="83">
        <v>36922</v>
      </c>
      <c r="F23" s="83">
        <v>36282</v>
      </c>
      <c r="G23" s="83">
        <f>AVERAGE(G22:K22)</f>
        <v>33934.800000000003</v>
      </c>
      <c r="H23" s="83">
        <f>AVERAGE(H22:K22)</f>
        <v>33476.75</v>
      </c>
      <c r="I23" s="83">
        <f>AVERAGE(I22:K22)</f>
        <v>33012</v>
      </c>
      <c r="J23" s="83">
        <f>AVERAGE(J22:K22)</f>
        <v>32610</v>
      </c>
      <c r="K23" s="84">
        <v>30314.6</v>
      </c>
      <c r="M23" s="91"/>
    </row>
    <row r="24" spans="1:14" x14ac:dyDescent="0.25">
      <c r="G24" s="21"/>
      <c r="H24" s="21"/>
      <c r="I24" s="21"/>
      <c r="M24" s="91"/>
    </row>
    <row r="25" spans="1:14" ht="15.75" thickBot="1" x14ac:dyDescent="0.3">
      <c r="A25" s="41" t="s">
        <v>31</v>
      </c>
      <c r="B25" s="24">
        <f>+B20/B23</f>
        <v>1.9518864699850307E-2</v>
      </c>
      <c r="C25" s="24">
        <f>+C20/C23</f>
        <v>1.8433752407779457E-2</v>
      </c>
      <c r="D25" s="24">
        <v>1.8653690186536901E-2</v>
      </c>
      <c r="E25" s="24">
        <v>1.9067222793998157E-2</v>
      </c>
      <c r="F25" s="24">
        <v>1.8852323466181577E-2</v>
      </c>
      <c r="G25" s="24">
        <f t="shared" ref="G25:K25" si="10">+G20/G23</f>
        <v>1.9773212159788771E-2</v>
      </c>
      <c r="H25" s="24">
        <f t="shared" si="10"/>
        <v>1.995414728132211E-2</v>
      </c>
      <c r="I25" s="24">
        <f t="shared" si="10"/>
        <v>2.0295650066642433E-2</v>
      </c>
      <c r="J25" s="24">
        <f t="shared" si="10"/>
        <v>2.1711131554737809E-2</v>
      </c>
      <c r="K25" s="24">
        <f t="shared" si="10"/>
        <v>2.0782065407427445E-2</v>
      </c>
      <c r="M25" s="91"/>
    </row>
    <row r="26" spans="1:14" x14ac:dyDescent="0.25">
      <c r="G26" s="21"/>
      <c r="H26" s="21"/>
      <c r="I26" s="21"/>
      <c r="M26" s="91"/>
    </row>
    <row r="27" spans="1:14" x14ac:dyDescent="0.25">
      <c r="G27" s="21"/>
      <c r="H27" s="21"/>
      <c r="I27" s="21"/>
      <c r="M27" s="91"/>
    </row>
    <row r="28" spans="1:14" x14ac:dyDescent="0.25">
      <c r="A28" s="35" t="s">
        <v>11</v>
      </c>
      <c r="B28" s="92">
        <v>73</v>
      </c>
      <c r="C28" s="30">
        <v>285</v>
      </c>
      <c r="D28" s="30">
        <v>215</v>
      </c>
      <c r="E28" s="30">
        <v>143</v>
      </c>
      <c r="F28" s="30">
        <v>71</v>
      </c>
      <c r="G28" s="30">
        <v>292</v>
      </c>
      <c r="H28" s="30">
        <f>141+70</f>
        <v>211</v>
      </c>
      <c r="I28" s="30">
        <f>74+67</f>
        <v>141</v>
      </c>
      <c r="J28" s="30">
        <v>74</v>
      </c>
      <c r="K28" s="30">
        <v>284</v>
      </c>
      <c r="M28" s="91"/>
    </row>
    <row r="29" spans="1:14" x14ac:dyDescent="0.25">
      <c r="B29" s="92"/>
      <c r="C29" s="30"/>
      <c r="D29" s="30"/>
      <c r="E29" s="30"/>
      <c r="F29" s="30"/>
      <c r="G29" s="30"/>
      <c r="H29" s="30"/>
      <c r="I29" s="30"/>
      <c r="J29" s="30"/>
      <c r="K29" s="30"/>
      <c r="L29" s="77"/>
      <c r="M29" s="91"/>
    </row>
    <row r="30" spans="1:14" x14ac:dyDescent="0.25">
      <c r="A30" s="39" t="s">
        <v>52</v>
      </c>
      <c r="B30" s="92">
        <f>+B19</f>
        <v>207</v>
      </c>
      <c r="C30" s="30">
        <f>+C19</f>
        <v>712</v>
      </c>
      <c r="D30" s="30">
        <v>529</v>
      </c>
      <c r="E30" s="30">
        <v>352</v>
      </c>
      <c r="F30" s="30">
        <v>171</v>
      </c>
      <c r="G30" s="30">
        <v>671</v>
      </c>
      <c r="H30" s="30">
        <v>501</v>
      </c>
      <c r="I30" s="30">
        <v>335</v>
      </c>
      <c r="J30" s="30">
        <v>177</v>
      </c>
      <c r="K30" s="30">
        <v>630</v>
      </c>
      <c r="L30" s="77"/>
      <c r="M30" s="91"/>
    </row>
    <row r="31" spans="1:14" x14ac:dyDescent="0.25">
      <c r="A31" s="79" t="s">
        <v>104</v>
      </c>
      <c r="B31" s="80">
        <v>65</v>
      </c>
      <c r="C31" s="80">
        <v>187</v>
      </c>
      <c r="D31" s="80">
        <v>134</v>
      </c>
      <c r="E31" s="80">
        <v>84</v>
      </c>
      <c r="F31" s="80">
        <v>41</v>
      </c>
      <c r="G31" s="80">
        <v>163</v>
      </c>
      <c r="H31" s="80">
        <v>112</v>
      </c>
      <c r="I31" s="80">
        <v>63</v>
      </c>
      <c r="J31" s="80">
        <v>28</v>
      </c>
      <c r="K31" s="80">
        <v>126</v>
      </c>
      <c r="L31" s="77"/>
      <c r="M31" s="91"/>
    </row>
    <row r="32" spans="1:14" x14ac:dyDescent="0.25">
      <c r="A32" s="79" t="s">
        <v>57</v>
      </c>
      <c r="B32" s="80">
        <f>SUM(B30:B31)</f>
        <v>272</v>
      </c>
      <c r="C32" s="80">
        <f>SUM(C30:C31)</f>
        <v>899</v>
      </c>
      <c r="D32" s="80">
        <v>663</v>
      </c>
      <c r="E32" s="80">
        <v>436</v>
      </c>
      <c r="F32" s="80">
        <f t="shared" ref="F32:K32" si="11">SUM(F30:F31)</f>
        <v>212</v>
      </c>
      <c r="G32" s="80">
        <f t="shared" si="11"/>
        <v>834</v>
      </c>
      <c r="H32" s="80">
        <f t="shared" si="11"/>
        <v>613</v>
      </c>
      <c r="I32" s="80">
        <f t="shared" si="11"/>
        <v>398</v>
      </c>
      <c r="J32" s="80">
        <f t="shared" si="11"/>
        <v>205</v>
      </c>
      <c r="K32" s="80">
        <f t="shared" si="11"/>
        <v>756</v>
      </c>
      <c r="M32" s="91"/>
    </row>
    <row r="33" spans="1:14" s="3" customFormat="1" ht="15.75" thickBot="1" x14ac:dyDescent="0.3">
      <c r="A33" s="41" t="s">
        <v>12</v>
      </c>
      <c r="B33" s="33">
        <f>B28/B32</f>
        <v>0.26838235294117646</v>
      </c>
      <c r="C33" s="33">
        <f>C28/C32</f>
        <v>0.31701890989988879</v>
      </c>
      <c r="D33" s="33">
        <v>0.32428355957767724</v>
      </c>
      <c r="E33" s="33">
        <v>0.32798165137614677</v>
      </c>
      <c r="F33" s="33">
        <v>0.33490566037735847</v>
      </c>
      <c r="G33" s="33">
        <f t="shared" ref="G33" si="12">G28/G32</f>
        <v>0.3501199040767386</v>
      </c>
      <c r="H33" s="33">
        <f t="shared" ref="H33" si="13">H28/H32</f>
        <v>0.3442088091353997</v>
      </c>
      <c r="I33" s="33">
        <f t="shared" ref="I33:K33" si="14">I28/I32</f>
        <v>0.35427135678391958</v>
      </c>
      <c r="J33" s="33">
        <f t="shared" si="14"/>
        <v>0.36097560975609755</v>
      </c>
      <c r="K33" s="33">
        <f t="shared" si="14"/>
        <v>0.37566137566137564</v>
      </c>
      <c r="L33" s="88"/>
      <c r="M33" s="91"/>
      <c r="N33"/>
    </row>
    <row r="34" spans="1:14" x14ac:dyDescent="0.25">
      <c r="M34" s="91"/>
    </row>
    <row r="35" spans="1:14" x14ac:dyDescent="0.25">
      <c r="M35" s="91"/>
    </row>
    <row r="36" spans="1:14" x14ac:dyDescent="0.25">
      <c r="A36" s="35" t="s">
        <v>11</v>
      </c>
      <c r="B36" s="92">
        <f>+B28</f>
        <v>73</v>
      </c>
      <c r="C36" s="30">
        <f>+C28</f>
        <v>285</v>
      </c>
      <c r="D36" s="30">
        <v>215</v>
      </c>
      <c r="E36" s="30">
        <v>143</v>
      </c>
      <c r="F36" s="30">
        <v>71</v>
      </c>
      <c r="G36" s="30">
        <v>292</v>
      </c>
      <c r="H36" s="30">
        <f>141+70</f>
        <v>211</v>
      </c>
      <c r="I36" s="30">
        <f>74+67</f>
        <v>141</v>
      </c>
      <c r="J36" s="30">
        <v>74</v>
      </c>
      <c r="K36" s="30">
        <v>284</v>
      </c>
      <c r="M36" s="91"/>
    </row>
    <row r="37" spans="1:14" x14ac:dyDescent="0.25">
      <c r="A37" s="35" t="s">
        <v>57</v>
      </c>
      <c r="B37" s="92">
        <f>+B32</f>
        <v>272</v>
      </c>
      <c r="C37" s="30">
        <f>+C32</f>
        <v>899</v>
      </c>
      <c r="D37" s="30">
        <v>663</v>
      </c>
      <c r="E37" s="30">
        <v>436</v>
      </c>
      <c r="F37" s="30">
        <v>212</v>
      </c>
      <c r="G37" s="30">
        <v>834</v>
      </c>
      <c r="H37" s="30">
        <v>613</v>
      </c>
      <c r="I37" s="30">
        <v>398</v>
      </c>
      <c r="J37" s="30">
        <v>205</v>
      </c>
      <c r="K37" s="30">
        <v>756</v>
      </c>
      <c r="M37" s="91"/>
    </row>
    <row r="38" spans="1:14" x14ac:dyDescent="0.25">
      <c r="A38" s="79" t="s">
        <v>56</v>
      </c>
      <c r="B38" s="80"/>
      <c r="C38" s="80">
        <v>51.9</v>
      </c>
      <c r="D38" s="80">
        <v>51.9</v>
      </c>
      <c r="E38" s="80">
        <v>35.6</v>
      </c>
      <c r="F38" s="80">
        <v>18.3</v>
      </c>
      <c r="G38" s="80">
        <v>64.599999999999994</v>
      </c>
      <c r="H38" s="80">
        <v>45.3</v>
      </c>
      <c r="I38" s="80">
        <v>29.4</v>
      </c>
      <c r="J38" s="80">
        <v>15.3</v>
      </c>
      <c r="K38" s="80">
        <v>51.9</v>
      </c>
      <c r="M38" s="91"/>
    </row>
    <row r="39" spans="1:14" x14ac:dyDescent="0.25">
      <c r="A39" s="40" t="s">
        <v>61</v>
      </c>
      <c r="B39" s="12">
        <f>+B37+B38</f>
        <v>272</v>
      </c>
      <c r="C39" s="12">
        <f>+C37+C38</f>
        <v>950.9</v>
      </c>
      <c r="D39" s="12">
        <v>714.9</v>
      </c>
      <c r="E39" s="12">
        <v>471.6</v>
      </c>
      <c r="F39" s="12">
        <v>230.3</v>
      </c>
      <c r="G39" s="12">
        <f t="shared" ref="G39:K39" si="15">+G37+G38</f>
        <v>898.6</v>
      </c>
      <c r="H39" s="12">
        <f t="shared" si="15"/>
        <v>658.3</v>
      </c>
      <c r="I39" s="12">
        <f t="shared" si="15"/>
        <v>427.4</v>
      </c>
      <c r="J39" s="12">
        <f t="shared" si="15"/>
        <v>220.3</v>
      </c>
      <c r="K39" s="12">
        <f t="shared" si="15"/>
        <v>807.9</v>
      </c>
      <c r="M39" s="91"/>
    </row>
    <row r="40" spans="1:14" ht="30.75" thickBot="1" x14ac:dyDescent="0.3">
      <c r="A40" s="16" t="s">
        <v>58</v>
      </c>
      <c r="B40" s="33">
        <f>B36/B39</f>
        <v>0.26838235294117646</v>
      </c>
      <c r="C40" s="33">
        <f>C36/C39</f>
        <v>0.29971605847092231</v>
      </c>
      <c r="D40" s="33">
        <v>0.30074136242831168</v>
      </c>
      <c r="E40" s="33">
        <v>0.30322307039864288</v>
      </c>
      <c r="F40" s="33">
        <v>0.30829353017802863</v>
      </c>
      <c r="G40" s="33">
        <f>G36/G39</f>
        <v>0.32494992210104606</v>
      </c>
      <c r="H40" s="33">
        <f t="shared" ref="H40" si="16">H36/H39</f>
        <v>0.32052255810420782</v>
      </c>
      <c r="I40" s="33">
        <f t="shared" ref="I40" si="17">I36/I39</f>
        <v>0.32990173139915774</v>
      </c>
      <c r="J40" s="33">
        <f t="shared" ref="J40" si="18">J36/J39</f>
        <v>0.33590558329550613</v>
      </c>
      <c r="K40" s="33">
        <f t="shared" ref="K40" si="19">K36/K39</f>
        <v>0.35152865453645255</v>
      </c>
      <c r="M40" s="91"/>
    </row>
    <row r="41" spans="1:14" x14ac:dyDescent="0.25">
      <c r="M41" s="91"/>
    </row>
    <row r="42" spans="1:14" x14ac:dyDescent="0.25">
      <c r="M42" s="91"/>
    </row>
    <row r="43" spans="1:14" x14ac:dyDescent="0.25">
      <c r="A43" s="35" t="s">
        <v>13</v>
      </c>
      <c r="B43" s="92">
        <v>23223</v>
      </c>
      <c r="C43" s="30">
        <v>22287</v>
      </c>
      <c r="D43" s="30">
        <v>21233</v>
      </c>
      <c r="E43" s="30">
        <v>19140</v>
      </c>
      <c r="F43" s="30">
        <v>18122</v>
      </c>
      <c r="G43" s="30">
        <v>17627</v>
      </c>
      <c r="H43" s="30">
        <v>17334</v>
      </c>
      <c r="I43" s="30">
        <v>16810</v>
      </c>
      <c r="J43" s="30">
        <v>15953</v>
      </c>
      <c r="K43" s="30">
        <v>15360</v>
      </c>
      <c r="M43" s="91"/>
    </row>
    <row r="44" spans="1:14" x14ac:dyDescent="0.25">
      <c r="A44" s="40" t="s">
        <v>60</v>
      </c>
      <c r="B44" s="12">
        <v>33777</v>
      </c>
      <c r="C44" s="80">
        <v>32472</v>
      </c>
      <c r="D44" s="80">
        <v>31092</v>
      </c>
      <c r="E44" s="80">
        <v>30728</v>
      </c>
      <c r="F44" s="80">
        <v>29351</v>
      </c>
      <c r="G44" s="80">
        <v>28069</v>
      </c>
      <c r="H44" s="80">
        <v>27360</v>
      </c>
      <c r="I44" s="80">
        <v>26218</v>
      </c>
      <c r="J44" s="80">
        <v>25612</v>
      </c>
      <c r="K44" s="80">
        <v>25503</v>
      </c>
      <c r="M44" s="91"/>
    </row>
    <row r="45" spans="1:14" ht="15.75" thickBot="1" x14ac:dyDescent="0.3">
      <c r="A45" s="43" t="s">
        <v>59</v>
      </c>
      <c r="B45" s="33">
        <f>B43/B44</f>
        <v>0.68753885780264679</v>
      </c>
      <c r="C45" s="33">
        <f>C43/C44</f>
        <v>0.68634515890613457</v>
      </c>
      <c r="D45" s="33">
        <v>0.68290878682619327</v>
      </c>
      <c r="E45" s="33">
        <v>0.62288466545170529</v>
      </c>
      <c r="F45" s="33">
        <v>0.61742359715171546</v>
      </c>
      <c r="G45" s="33">
        <f>G43/G44</f>
        <v>0.62798817200470269</v>
      </c>
      <c r="H45" s="33">
        <f>H43/H44</f>
        <v>0.63355263157894737</v>
      </c>
      <c r="I45" s="33">
        <f>I43/I44-0.001</f>
        <v>0.64016256007323213</v>
      </c>
      <c r="J45" s="33">
        <f>J43/J44-0.001</f>
        <v>0.62187209120724662</v>
      </c>
      <c r="K45" s="33">
        <f>K43/K44-0.001</f>
        <v>0.60128208446065168</v>
      </c>
      <c r="L45" s="89"/>
      <c r="M45" s="91"/>
    </row>
    <row r="46" spans="1:14" x14ac:dyDescent="0.25">
      <c r="M46" s="91"/>
    </row>
    <row r="47" spans="1:14" x14ac:dyDescent="0.25">
      <c r="M47" s="91"/>
    </row>
    <row r="48" spans="1:14" x14ac:dyDescent="0.25">
      <c r="A48" s="44" t="s">
        <v>64</v>
      </c>
      <c r="B48" s="95">
        <v>33903</v>
      </c>
      <c r="C48" s="84">
        <v>32583</v>
      </c>
      <c r="D48" s="84">
        <v>31207</v>
      </c>
      <c r="E48" s="84">
        <v>30843</v>
      </c>
      <c r="F48" s="84">
        <v>29474</v>
      </c>
      <c r="G48" s="84">
        <v>28222</v>
      </c>
      <c r="H48" s="84">
        <v>27519</v>
      </c>
      <c r="I48" s="84">
        <v>26406</v>
      </c>
      <c r="J48" s="84">
        <v>25792</v>
      </c>
      <c r="K48" s="84">
        <v>25642</v>
      </c>
      <c r="M48" s="91"/>
    </row>
    <row r="49" spans="1:13" x14ac:dyDescent="0.25">
      <c r="A49" s="45" t="s">
        <v>65</v>
      </c>
      <c r="B49" s="96">
        <f>F48</f>
        <v>29474</v>
      </c>
      <c r="C49" s="82">
        <f>+G48</f>
        <v>28222</v>
      </c>
      <c r="D49" s="82">
        <v>27519</v>
      </c>
      <c r="E49" s="82">
        <v>26406</v>
      </c>
      <c r="F49" s="82">
        <v>25792</v>
      </c>
      <c r="G49" s="82">
        <v>25642</v>
      </c>
      <c r="H49" s="82">
        <v>25443</v>
      </c>
      <c r="I49" s="82">
        <v>23292</v>
      </c>
      <c r="J49" s="82">
        <v>22318</v>
      </c>
      <c r="K49" s="82">
        <v>22294</v>
      </c>
      <c r="M49" s="91"/>
    </row>
    <row r="50" spans="1:13" x14ac:dyDescent="0.25">
      <c r="A50" s="44" t="s">
        <v>62</v>
      </c>
      <c r="B50" s="92">
        <f>B48-B49</f>
        <v>4429</v>
      </c>
      <c r="C50" s="30">
        <f>C48-C49</f>
        <v>4361</v>
      </c>
      <c r="D50" s="30">
        <v>3688</v>
      </c>
      <c r="E50" s="30">
        <v>4437</v>
      </c>
      <c r="F50" s="30">
        <v>3682</v>
      </c>
      <c r="G50" s="30">
        <f t="shared" ref="G50:K50" si="20">G48-G49</f>
        <v>2580</v>
      </c>
      <c r="H50" s="30">
        <f t="shared" si="20"/>
        <v>2076</v>
      </c>
      <c r="I50" s="30">
        <f t="shared" si="20"/>
        <v>3114</v>
      </c>
      <c r="J50" s="30">
        <f t="shared" si="20"/>
        <v>3474</v>
      </c>
      <c r="K50" s="30">
        <f t="shared" si="20"/>
        <v>3348</v>
      </c>
      <c r="M50" s="91"/>
    </row>
    <row r="51" spans="1:13" x14ac:dyDescent="0.25">
      <c r="A51" s="44"/>
      <c r="G51" s="26"/>
      <c r="M51" s="91"/>
    </row>
    <row r="52" spans="1:13" ht="15.75" thickBot="1" x14ac:dyDescent="0.3">
      <c r="A52" s="41" t="s">
        <v>63</v>
      </c>
      <c r="B52" s="33">
        <f>B50/B49</f>
        <v>0.15026803284250526</v>
      </c>
      <c r="C52" s="33">
        <f>C50/C49</f>
        <v>0.15452483877825809</v>
      </c>
      <c r="D52" s="33">
        <v>0.13401649769250337</v>
      </c>
      <c r="E52" s="33">
        <v>0.16802999318336742</v>
      </c>
      <c r="F52" s="33">
        <v>0.14275744416873448</v>
      </c>
      <c r="G52" s="33">
        <f t="shared" ref="G52:J52" si="21">G50/G49</f>
        <v>0.10061617658528976</v>
      </c>
      <c r="H52" s="33">
        <f t="shared" si="21"/>
        <v>8.1594151633062134E-2</v>
      </c>
      <c r="I52" s="33">
        <f t="shared" si="21"/>
        <v>0.13369397217928902</v>
      </c>
      <c r="J52" s="33">
        <f t="shared" si="21"/>
        <v>0.15565910923917914</v>
      </c>
      <c r="K52" s="33">
        <f>K50/K49</f>
        <v>0.15017493496007894</v>
      </c>
      <c r="M52" s="91"/>
    </row>
    <row r="53" spans="1:13" x14ac:dyDescent="0.25">
      <c r="M53" s="91"/>
    </row>
    <row r="54" spans="1:13" x14ac:dyDescent="0.25">
      <c r="B54" s="76"/>
      <c r="C54" s="76"/>
      <c r="D54" s="76"/>
      <c r="E54" s="76"/>
      <c r="M54" s="91"/>
    </row>
    <row r="55" spans="1:13" x14ac:dyDescent="0.25">
      <c r="A55" s="44" t="s">
        <v>21</v>
      </c>
      <c r="B55" s="95">
        <f>+B43</f>
        <v>23223</v>
      </c>
      <c r="C55" s="84">
        <f>+C43</f>
        <v>22287</v>
      </c>
      <c r="D55" s="84">
        <v>21233</v>
      </c>
      <c r="E55" s="84">
        <v>19140</v>
      </c>
      <c r="F55" s="84">
        <v>18122</v>
      </c>
      <c r="G55" s="84">
        <f>+G43</f>
        <v>17627</v>
      </c>
      <c r="H55" s="84">
        <f>+H43</f>
        <v>17334</v>
      </c>
      <c r="I55" s="84">
        <f t="shared" ref="I55:K55" si="22">+I43</f>
        <v>16810</v>
      </c>
      <c r="J55" s="84">
        <f>+J43</f>
        <v>15953</v>
      </c>
      <c r="K55" s="84">
        <f t="shared" si="22"/>
        <v>15360</v>
      </c>
      <c r="M55" s="91"/>
    </row>
    <row r="56" spans="1:13" x14ac:dyDescent="0.25">
      <c r="A56" s="45" t="s">
        <v>27</v>
      </c>
      <c r="B56" s="96">
        <f>F55</f>
        <v>18122</v>
      </c>
      <c r="C56" s="82">
        <f>+G55</f>
        <v>17627</v>
      </c>
      <c r="D56" s="82">
        <v>17334</v>
      </c>
      <c r="E56" s="82">
        <v>16810</v>
      </c>
      <c r="F56" s="82">
        <v>15953</v>
      </c>
      <c r="G56" s="82">
        <f>K55</f>
        <v>15360</v>
      </c>
      <c r="H56" s="82">
        <v>15452</v>
      </c>
      <c r="I56" s="82">
        <v>15468</v>
      </c>
      <c r="J56" s="82">
        <v>15106</v>
      </c>
      <c r="K56" s="80">
        <v>14909</v>
      </c>
      <c r="M56" s="91"/>
    </row>
    <row r="57" spans="1:13" x14ac:dyDescent="0.25">
      <c r="A57" s="44" t="s">
        <v>22</v>
      </c>
      <c r="B57" s="92">
        <f>B55-B56</f>
        <v>5101</v>
      </c>
      <c r="C57" s="30">
        <f>C55-C56</f>
        <v>4660</v>
      </c>
      <c r="D57" s="30">
        <v>3899</v>
      </c>
      <c r="E57" s="30">
        <v>2330</v>
      </c>
      <c r="F57" s="30">
        <v>2169</v>
      </c>
      <c r="G57" s="30">
        <f t="shared" ref="G57:K57" si="23">G55-G56</f>
        <v>2267</v>
      </c>
      <c r="H57" s="30">
        <f t="shared" si="23"/>
        <v>1882</v>
      </c>
      <c r="I57" s="30">
        <f t="shared" si="23"/>
        <v>1342</v>
      </c>
      <c r="J57" s="30">
        <f t="shared" si="23"/>
        <v>847</v>
      </c>
      <c r="K57" s="30">
        <f t="shared" si="23"/>
        <v>451</v>
      </c>
      <c r="M57" s="91"/>
    </row>
    <row r="58" spans="1:13" x14ac:dyDescent="0.25">
      <c r="A58" s="44"/>
      <c r="G58" s="26"/>
      <c r="M58" s="91"/>
    </row>
    <row r="59" spans="1:13" ht="15.75" thickBot="1" x14ac:dyDescent="0.3">
      <c r="A59" s="41" t="s">
        <v>23</v>
      </c>
      <c r="B59" s="33">
        <f>B57/B56</f>
        <v>0.2814810727292793</v>
      </c>
      <c r="C59" s="33">
        <f>C57/C56</f>
        <v>0.26436716400975774</v>
      </c>
      <c r="D59" s="33">
        <v>0.22493365639783086</v>
      </c>
      <c r="E59" s="33">
        <v>0.13860797144556811</v>
      </c>
      <c r="F59" s="33">
        <v>0.13596188804613552</v>
      </c>
      <c r="G59" s="33">
        <f t="shared" ref="G59:K59" si="24">G57/G56</f>
        <v>0.14759114583333333</v>
      </c>
      <c r="H59" s="33">
        <f t="shared" si="24"/>
        <v>0.12179653119337303</v>
      </c>
      <c r="I59" s="33">
        <f t="shared" si="24"/>
        <v>8.6759762089475043E-2</v>
      </c>
      <c r="J59" s="33">
        <f t="shared" si="24"/>
        <v>5.6070435588507876E-2</v>
      </c>
      <c r="K59" s="33">
        <f t="shared" si="24"/>
        <v>3.0250184452344221E-2</v>
      </c>
      <c r="M59" s="91"/>
    </row>
    <row r="60" spans="1:13" x14ac:dyDescent="0.25">
      <c r="M60" s="91"/>
    </row>
    <row r="61" spans="1:13" x14ac:dyDescent="0.25">
      <c r="M61" s="91"/>
    </row>
    <row r="62" spans="1:13" x14ac:dyDescent="0.25">
      <c r="A62" s="35" t="s">
        <v>55</v>
      </c>
      <c r="B62" s="95">
        <f>+B22</f>
        <v>42965</v>
      </c>
      <c r="C62" s="84">
        <f>+C22</f>
        <v>41876</v>
      </c>
      <c r="D62" s="84">
        <v>40482</v>
      </c>
      <c r="E62" s="84">
        <v>38202</v>
      </c>
      <c r="F62" s="84">
        <v>36797</v>
      </c>
      <c r="G62" s="84">
        <v>35767</v>
      </c>
      <c r="H62" s="84">
        <v>34871</v>
      </c>
      <c r="I62" s="84">
        <v>33816</v>
      </c>
      <c r="J62" s="84">
        <v>33303</v>
      </c>
      <c r="K62" s="84">
        <v>31917</v>
      </c>
      <c r="M62" s="91"/>
    </row>
    <row r="63" spans="1:13" ht="15.75" thickBot="1" x14ac:dyDescent="0.3">
      <c r="A63" s="41" t="s">
        <v>66</v>
      </c>
      <c r="B63" s="60">
        <f>AVERAGE(B62:C62)</f>
        <v>42420.5</v>
      </c>
      <c r="C63" s="60">
        <f>AVERAGE(C62:G62)</f>
        <v>38624.800000000003</v>
      </c>
      <c r="D63" s="60">
        <v>37812</v>
      </c>
      <c r="E63" s="60">
        <v>36922</v>
      </c>
      <c r="F63" s="60">
        <f>AVERAGE(F62:G62)</f>
        <v>36282</v>
      </c>
      <c r="G63" s="60">
        <f>AVERAGE(G62:K62)</f>
        <v>33934.800000000003</v>
      </c>
      <c r="H63" s="60">
        <f>AVERAGE(H62:K62)</f>
        <v>33476.75</v>
      </c>
      <c r="I63" s="60">
        <f>AVERAGE(I62:K62)</f>
        <v>33012</v>
      </c>
      <c r="J63" s="60">
        <f>AVERAGE(J62:K62)</f>
        <v>32610</v>
      </c>
      <c r="K63" s="60">
        <v>30315</v>
      </c>
      <c r="M63" s="91"/>
    </row>
    <row r="64" spans="1:13" x14ac:dyDescent="0.25">
      <c r="M64" s="91"/>
    </row>
    <row r="65" spans="1:13" x14ac:dyDescent="0.25">
      <c r="B65" s="76"/>
      <c r="C65" s="76"/>
      <c r="D65" s="76"/>
      <c r="E65" s="76"/>
      <c r="M65" s="91"/>
    </row>
    <row r="66" spans="1:13" x14ac:dyDescent="0.25">
      <c r="A66" s="39" t="s">
        <v>70</v>
      </c>
      <c r="B66" s="92">
        <f>+B48</f>
        <v>33903</v>
      </c>
      <c r="C66" s="30">
        <f>+C48</f>
        <v>32583</v>
      </c>
      <c r="D66" s="30">
        <v>31207</v>
      </c>
      <c r="E66" s="30">
        <v>30843</v>
      </c>
      <c r="F66" s="30">
        <v>29474</v>
      </c>
      <c r="G66" s="30">
        <v>28222</v>
      </c>
      <c r="H66" s="30">
        <v>27519</v>
      </c>
      <c r="I66" s="30">
        <v>26406</v>
      </c>
      <c r="J66" s="30">
        <v>25792</v>
      </c>
      <c r="K66" s="30">
        <v>25600</v>
      </c>
      <c r="M66" s="91"/>
    </row>
    <row r="67" spans="1:13" x14ac:dyDescent="0.25">
      <c r="A67" s="39" t="s">
        <v>68</v>
      </c>
      <c r="B67" s="92">
        <v>16259</v>
      </c>
      <c r="C67" s="30">
        <v>15991</v>
      </c>
      <c r="D67" s="30">
        <v>15299</v>
      </c>
      <c r="E67" s="30">
        <v>14970</v>
      </c>
      <c r="F67" s="30">
        <v>14802</v>
      </c>
      <c r="G67" s="30">
        <v>14489</v>
      </c>
      <c r="H67" s="30">
        <v>14116</v>
      </c>
      <c r="I67" s="30">
        <v>13764</v>
      </c>
      <c r="J67" s="30">
        <v>13873</v>
      </c>
      <c r="K67" s="30">
        <v>12892</v>
      </c>
      <c r="M67" s="91"/>
    </row>
    <row r="68" spans="1:13" x14ac:dyDescent="0.25">
      <c r="A68" s="39" t="s">
        <v>69</v>
      </c>
      <c r="B68" s="92">
        <v>3231</v>
      </c>
      <c r="C68" s="30">
        <v>3271</v>
      </c>
      <c r="D68" s="30">
        <v>3412</v>
      </c>
      <c r="E68" s="30">
        <v>3629</v>
      </c>
      <c r="F68" s="30">
        <v>3926</v>
      </c>
      <c r="G68" s="30">
        <v>4008</v>
      </c>
      <c r="H68" s="30">
        <v>4123</v>
      </c>
      <c r="I68" s="30">
        <v>4226</v>
      </c>
      <c r="J68" s="30">
        <v>4058</v>
      </c>
      <c r="K68" s="30">
        <v>4086</v>
      </c>
      <c r="M68" s="91"/>
    </row>
    <row r="69" spans="1:13" ht="15.75" thickBot="1" x14ac:dyDescent="0.3">
      <c r="A69" s="41" t="s">
        <v>46</v>
      </c>
      <c r="B69" s="60">
        <f>SUM(B66:B68)</f>
        <v>53393</v>
      </c>
      <c r="C69" s="60">
        <f>SUM(C66:C68)</f>
        <v>51845</v>
      </c>
      <c r="D69" s="60">
        <v>49918</v>
      </c>
      <c r="E69" s="60">
        <v>49442</v>
      </c>
      <c r="F69" s="60">
        <v>48202</v>
      </c>
      <c r="G69" s="60">
        <f t="shared" ref="G69:K69" si="25">SUM(G66:G68)</f>
        <v>46719</v>
      </c>
      <c r="H69" s="60">
        <f t="shared" si="25"/>
        <v>45758</v>
      </c>
      <c r="I69" s="60">
        <f t="shared" si="25"/>
        <v>44396</v>
      </c>
      <c r="J69" s="60">
        <f t="shared" si="25"/>
        <v>43723</v>
      </c>
      <c r="K69" s="60">
        <f t="shared" si="25"/>
        <v>42578</v>
      </c>
      <c r="M69" s="91"/>
    </row>
    <row r="70" spans="1:13" x14ac:dyDescent="0.25">
      <c r="M70" s="91"/>
    </row>
    <row r="71" spans="1:13" x14ac:dyDescent="0.25">
      <c r="M71" s="91"/>
    </row>
    <row r="72" spans="1:13" ht="30" x14ac:dyDescent="0.25">
      <c r="A72" s="11" t="s">
        <v>15</v>
      </c>
      <c r="B72" s="95">
        <f>+B69</f>
        <v>53393</v>
      </c>
      <c r="C72" s="84">
        <f>+C69</f>
        <v>51845</v>
      </c>
      <c r="D72" s="84">
        <v>49918</v>
      </c>
      <c r="E72" s="84">
        <v>49442</v>
      </c>
      <c r="F72" s="84">
        <v>48202</v>
      </c>
      <c r="G72" s="84">
        <f t="shared" ref="G72:K72" si="26">+G69</f>
        <v>46719</v>
      </c>
      <c r="H72" s="84">
        <f t="shared" si="26"/>
        <v>45758</v>
      </c>
      <c r="I72" s="84">
        <f t="shared" si="26"/>
        <v>44396</v>
      </c>
      <c r="J72" s="84">
        <f t="shared" si="26"/>
        <v>43723</v>
      </c>
      <c r="K72" s="84">
        <f t="shared" si="26"/>
        <v>42578</v>
      </c>
      <c r="M72" s="91"/>
    </row>
    <row r="73" spans="1:13" ht="30" x14ac:dyDescent="0.25">
      <c r="A73" s="13" t="s">
        <v>25</v>
      </c>
      <c r="B73" s="96">
        <f>+F72</f>
        <v>48202</v>
      </c>
      <c r="C73" s="82">
        <f>+G72</f>
        <v>46719</v>
      </c>
      <c r="D73" s="82">
        <v>45758</v>
      </c>
      <c r="E73" s="82">
        <v>44396</v>
      </c>
      <c r="F73" s="82">
        <v>43723</v>
      </c>
      <c r="G73" s="82">
        <f>K72</f>
        <v>42578</v>
      </c>
      <c r="H73" s="82">
        <v>42323</v>
      </c>
      <c r="I73" s="82">
        <v>39860</v>
      </c>
      <c r="J73" s="82">
        <v>38508</v>
      </c>
      <c r="K73" s="82">
        <v>38851</v>
      </c>
      <c r="M73" s="91"/>
    </row>
    <row r="74" spans="1:13" x14ac:dyDescent="0.25">
      <c r="A74" s="35" t="s">
        <v>16</v>
      </c>
      <c r="B74" s="95">
        <f>B72-B73</f>
        <v>5191</v>
      </c>
      <c r="C74" s="84">
        <f>C72-C73</f>
        <v>5126</v>
      </c>
      <c r="D74" s="84">
        <v>4160</v>
      </c>
      <c r="E74" s="84">
        <v>5046</v>
      </c>
      <c r="F74" s="84">
        <v>4479</v>
      </c>
      <c r="G74" s="84">
        <f t="shared" ref="G74:K74" si="27">G72-G73</f>
        <v>4141</v>
      </c>
      <c r="H74" s="84">
        <f t="shared" si="27"/>
        <v>3435</v>
      </c>
      <c r="I74" s="84">
        <f t="shared" si="27"/>
        <v>4536</v>
      </c>
      <c r="J74" s="84">
        <f t="shared" si="27"/>
        <v>5215</v>
      </c>
      <c r="K74" s="84">
        <f t="shared" si="27"/>
        <v>3727</v>
      </c>
      <c r="M74" s="91"/>
    </row>
    <row r="75" spans="1:13" ht="30" x14ac:dyDescent="0.25">
      <c r="A75" s="13" t="s">
        <v>26</v>
      </c>
      <c r="B75" s="96">
        <f>B73</f>
        <v>48202</v>
      </c>
      <c r="C75" s="82">
        <f>C73</f>
        <v>46719</v>
      </c>
      <c r="D75" s="82">
        <v>45758</v>
      </c>
      <c r="E75" s="82">
        <v>44396</v>
      </c>
      <c r="F75" s="82">
        <v>43723</v>
      </c>
      <c r="G75" s="82">
        <f t="shared" ref="G75:K75" si="28">G73</f>
        <v>42578</v>
      </c>
      <c r="H75" s="82">
        <f t="shared" si="28"/>
        <v>42323</v>
      </c>
      <c r="I75" s="82">
        <f t="shared" si="28"/>
        <v>39860</v>
      </c>
      <c r="J75" s="82">
        <f t="shared" si="28"/>
        <v>38508</v>
      </c>
      <c r="K75" s="82">
        <f t="shared" si="28"/>
        <v>38851</v>
      </c>
      <c r="M75" s="91"/>
    </row>
    <row r="76" spans="1:13" ht="15.75" thickBot="1" x14ac:dyDescent="0.3">
      <c r="A76" s="42" t="s">
        <v>47</v>
      </c>
      <c r="B76" s="23">
        <f>B74/B75</f>
        <v>0.10769262686195594</v>
      </c>
      <c r="C76" s="23">
        <f>C74/C75</f>
        <v>0.10971981420835206</v>
      </c>
      <c r="D76" s="23">
        <v>9.0913064382184536E-2</v>
      </c>
      <c r="E76" s="23">
        <v>0.11365888818812506</v>
      </c>
      <c r="F76" s="23">
        <v>0.10244036319557212</v>
      </c>
      <c r="G76" s="23">
        <f t="shared" ref="G76:J76" si="29">G74/G75</f>
        <v>9.7256799286016257E-2</v>
      </c>
      <c r="H76" s="23">
        <f t="shared" si="29"/>
        <v>8.1161543368853811E-2</v>
      </c>
      <c r="I76" s="23">
        <f t="shared" si="29"/>
        <v>0.11379829402910185</v>
      </c>
      <c r="J76" s="23">
        <f t="shared" si="29"/>
        <v>0.13542640490287733</v>
      </c>
      <c r="K76" s="23">
        <f>K74/K75+0.001</f>
        <v>9.693060667679082E-2</v>
      </c>
      <c r="M76" s="91"/>
    </row>
    <row r="77" spans="1:13" x14ac:dyDescent="0.25">
      <c r="C77" s="22"/>
      <c r="D77" s="22"/>
      <c r="E77" s="22"/>
      <c r="F77" s="22"/>
      <c r="J77" s="22"/>
      <c r="K77" s="28"/>
      <c r="M77" s="91"/>
    </row>
    <row r="78" spans="1:13" x14ac:dyDescent="0.25">
      <c r="M78" s="91"/>
    </row>
    <row r="79" spans="1:13" ht="30" x14ac:dyDescent="0.25">
      <c r="A79" s="11" t="s">
        <v>15</v>
      </c>
      <c r="B79" s="95">
        <f>+B72</f>
        <v>53393</v>
      </c>
      <c r="C79" s="84">
        <f>+C72</f>
        <v>51845</v>
      </c>
      <c r="D79" s="84">
        <v>49918</v>
      </c>
      <c r="E79" s="84">
        <v>49442</v>
      </c>
      <c r="F79" s="84">
        <v>48202</v>
      </c>
      <c r="G79" s="84">
        <f>+G72</f>
        <v>46719</v>
      </c>
      <c r="H79" s="84">
        <f t="shared" ref="H79:K79" si="30">+H72</f>
        <v>45758</v>
      </c>
      <c r="I79" s="84">
        <f t="shared" si="30"/>
        <v>44396</v>
      </c>
      <c r="J79" s="84">
        <f t="shared" si="30"/>
        <v>43723</v>
      </c>
      <c r="K79" s="84">
        <f t="shared" si="30"/>
        <v>42578</v>
      </c>
      <c r="M79" s="91"/>
    </row>
    <row r="80" spans="1:13" x14ac:dyDescent="0.25">
      <c r="A80" s="13" t="s">
        <v>117</v>
      </c>
      <c r="B80" s="96">
        <f>+B48-B44</f>
        <v>126</v>
      </c>
      <c r="C80" s="82">
        <f>+C48-C44</f>
        <v>111</v>
      </c>
      <c r="D80" s="82">
        <v>115</v>
      </c>
      <c r="E80" s="82">
        <f t="shared" ref="E80:K80" si="31">+E48-E44</f>
        <v>115</v>
      </c>
      <c r="F80" s="82">
        <f t="shared" si="31"/>
        <v>123</v>
      </c>
      <c r="G80" s="82">
        <f t="shared" si="31"/>
        <v>153</v>
      </c>
      <c r="H80" s="82">
        <f t="shared" si="31"/>
        <v>159</v>
      </c>
      <c r="I80" s="82">
        <f t="shared" si="31"/>
        <v>188</v>
      </c>
      <c r="J80" s="82">
        <f t="shared" si="31"/>
        <v>180</v>
      </c>
      <c r="K80" s="82">
        <f t="shared" si="31"/>
        <v>139</v>
      </c>
      <c r="M80" s="91"/>
    </row>
    <row r="81" spans="1:13" ht="30" x14ac:dyDescent="0.25">
      <c r="A81" s="11" t="s">
        <v>116</v>
      </c>
      <c r="B81" s="95">
        <f>+B79-B80</f>
        <v>53267</v>
      </c>
      <c r="C81" s="84">
        <f>+C79-C80</f>
        <v>51734</v>
      </c>
      <c r="D81" s="84">
        <v>49803</v>
      </c>
      <c r="E81" s="84">
        <f t="shared" ref="E81:K81" si="32">+E79-E80</f>
        <v>49327</v>
      </c>
      <c r="F81" s="84">
        <f t="shared" si="32"/>
        <v>48079</v>
      </c>
      <c r="G81" s="84">
        <f t="shared" si="32"/>
        <v>46566</v>
      </c>
      <c r="H81" s="84">
        <f t="shared" si="32"/>
        <v>45599</v>
      </c>
      <c r="I81" s="84">
        <f t="shared" si="32"/>
        <v>44208</v>
      </c>
      <c r="J81" s="84">
        <f t="shared" si="32"/>
        <v>43543</v>
      </c>
      <c r="K81" s="84">
        <f t="shared" si="32"/>
        <v>42439</v>
      </c>
      <c r="M81" s="91"/>
    </row>
    <row r="82" spans="1:13" x14ac:dyDescent="0.25">
      <c r="A82" s="13" t="s">
        <v>72</v>
      </c>
      <c r="B82" s="96">
        <f>+B55</f>
        <v>23223</v>
      </c>
      <c r="C82" s="82">
        <f>+C55</f>
        <v>22287</v>
      </c>
      <c r="D82" s="82">
        <v>21233</v>
      </c>
      <c r="E82" s="82">
        <v>19140</v>
      </c>
      <c r="F82" s="82">
        <v>18122</v>
      </c>
      <c r="G82" s="82">
        <f t="shared" ref="G82:K82" si="33">+G55</f>
        <v>17627</v>
      </c>
      <c r="H82" s="82">
        <f t="shared" si="33"/>
        <v>17334</v>
      </c>
      <c r="I82" s="82">
        <f t="shared" si="33"/>
        <v>16810</v>
      </c>
      <c r="J82" s="82">
        <f t="shared" si="33"/>
        <v>15953</v>
      </c>
      <c r="K82" s="82">
        <f t="shared" si="33"/>
        <v>15360</v>
      </c>
      <c r="M82" s="91"/>
    </row>
    <row r="83" spans="1:13" ht="30.75" thickBot="1" x14ac:dyDescent="0.3">
      <c r="A83" s="17" t="s">
        <v>71</v>
      </c>
      <c r="B83" s="23">
        <f>+B82/B81</f>
        <v>0.43597349203071317</v>
      </c>
      <c r="C83" s="23">
        <f>+C82/C81</f>
        <v>0.43079986082653576</v>
      </c>
      <c r="D83" s="23">
        <v>0.42633977872818907</v>
      </c>
      <c r="E83" s="23">
        <f t="shared" ref="E83:K83" si="34">+E82/E81</f>
        <v>0.38802278670910456</v>
      </c>
      <c r="F83" s="23">
        <f t="shared" si="34"/>
        <v>0.37692131699910564</v>
      </c>
      <c r="G83" s="23">
        <f t="shared" si="34"/>
        <v>0.37853798909075292</v>
      </c>
      <c r="H83" s="23">
        <f t="shared" si="34"/>
        <v>0.38013991534902081</v>
      </c>
      <c r="I83" s="23">
        <f t="shared" si="34"/>
        <v>0.38024791892870069</v>
      </c>
      <c r="J83" s="23">
        <f t="shared" si="34"/>
        <v>0.36637346990331399</v>
      </c>
      <c r="K83" s="23">
        <f t="shared" si="34"/>
        <v>0.36193124248921982</v>
      </c>
      <c r="M83" s="91"/>
    </row>
    <row r="84" spans="1:13" x14ac:dyDescent="0.25">
      <c r="M84" s="91"/>
    </row>
    <row r="85" spans="1:13" x14ac:dyDescent="0.25">
      <c r="M85" s="91"/>
    </row>
    <row r="86" spans="1:13" x14ac:dyDescent="0.25">
      <c r="A86" s="35" t="s">
        <v>74</v>
      </c>
      <c r="B86" s="92">
        <v>16</v>
      </c>
      <c r="C86" s="30">
        <v>-18</v>
      </c>
      <c r="D86" s="30">
        <v>-22</v>
      </c>
      <c r="E86" s="30">
        <v>-21</v>
      </c>
      <c r="F86" s="30">
        <v>-12</v>
      </c>
      <c r="G86" s="30">
        <v>75</v>
      </c>
      <c r="H86" s="30">
        <f>+I86+14</f>
        <v>75</v>
      </c>
      <c r="I86" s="30">
        <f>42+19</f>
        <v>61</v>
      </c>
      <c r="J86" s="30">
        <v>42</v>
      </c>
      <c r="K86" s="30">
        <v>37</v>
      </c>
      <c r="M86" s="91"/>
    </row>
    <row r="87" spans="1:13" x14ac:dyDescent="0.25">
      <c r="A87" s="39"/>
      <c r="B87" s="92"/>
      <c r="C87" s="30"/>
      <c r="D87" s="30"/>
      <c r="E87" s="30"/>
      <c r="F87" s="30"/>
      <c r="G87" s="30"/>
      <c r="H87" s="31"/>
      <c r="I87" s="31"/>
      <c r="J87" s="30"/>
      <c r="K87" s="30"/>
      <c r="M87" s="91"/>
    </row>
    <row r="88" spans="1:13" x14ac:dyDescent="0.25">
      <c r="A88" s="35" t="s">
        <v>20</v>
      </c>
      <c r="B88" s="92">
        <f>B86*4</f>
        <v>64</v>
      </c>
      <c r="C88" s="30">
        <f>C86/4*4</f>
        <v>-18</v>
      </c>
      <c r="D88" s="30">
        <v>-29.333333333333332</v>
      </c>
      <c r="E88" s="30">
        <v>-42</v>
      </c>
      <c r="F88" s="30">
        <v>-48</v>
      </c>
      <c r="G88" s="30">
        <f>G86/4*4</f>
        <v>75</v>
      </c>
      <c r="H88" s="30">
        <f>H86/3*4</f>
        <v>100</v>
      </c>
      <c r="I88" s="30">
        <f>I86/2*4</f>
        <v>122</v>
      </c>
      <c r="J88" s="30">
        <f>J86*4</f>
        <v>168</v>
      </c>
      <c r="K88" s="30">
        <f>K86/4*4</f>
        <v>37</v>
      </c>
      <c r="M88" s="91"/>
    </row>
    <row r="89" spans="1:13" x14ac:dyDescent="0.25">
      <c r="A89" s="13" t="s">
        <v>79</v>
      </c>
      <c r="B89" s="92">
        <f>AVERAGE(B66:C66)</f>
        <v>33243</v>
      </c>
      <c r="C89" s="83">
        <f>AVERAGE(C66:G66)</f>
        <v>30465.8</v>
      </c>
      <c r="D89" s="83">
        <v>29936.5</v>
      </c>
      <c r="E89" s="83">
        <v>29513</v>
      </c>
      <c r="F89" s="80">
        <v>28848</v>
      </c>
      <c r="G89" s="80">
        <f>(G66+I66+H66+J66+K66)/5</f>
        <v>26707.8</v>
      </c>
      <c r="H89" s="80">
        <f>(H66+J66+I66+K66)/4</f>
        <v>26329.25</v>
      </c>
      <c r="I89" s="80">
        <f>(I66+K66+J66)/3</f>
        <v>25932.666666666668</v>
      </c>
      <c r="J89" s="80">
        <f>(J66+K66)/2</f>
        <v>25696</v>
      </c>
      <c r="K89" s="80">
        <v>23798</v>
      </c>
      <c r="M89" s="91"/>
    </row>
    <row r="90" spans="1:13" ht="15.75" thickBot="1" x14ac:dyDescent="0.3">
      <c r="A90" s="42" t="s">
        <v>19</v>
      </c>
      <c r="B90" s="25">
        <f>B88/B89</f>
        <v>1.9252173389886593E-3</v>
      </c>
      <c r="C90" s="25">
        <f t="shared" ref="C90" si="35">C88/C89</f>
        <v>-5.9082643488764448E-4</v>
      </c>
      <c r="D90" s="25">
        <v>-9.798517974156408E-4</v>
      </c>
      <c r="E90" s="25">
        <v>-1.4231016840036595E-3</v>
      </c>
      <c r="F90" s="25">
        <v>-1.6638935108153079E-3</v>
      </c>
      <c r="G90" s="25">
        <f>G88/G89</f>
        <v>2.8081684002426257E-3</v>
      </c>
      <c r="H90" s="25">
        <f t="shared" ref="H90:J90" si="36">H88/H89</f>
        <v>3.7980572936942756E-3</v>
      </c>
      <c r="I90" s="25">
        <f t="shared" si="36"/>
        <v>4.7044911180235995E-3</v>
      </c>
      <c r="J90" s="25">
        <f t="shared" si="36"/>
        <v>6.5379825653798258E-3</v>
      </c>
      <c r="K90" s="25">
        <f>K88/K89</f>
        <v>1.5547525002101016E-3</v>
      </c>
      <c r="M90" s="91"/>
    </row>
    <row r="91" spans="1:13" x14ac:dyDescent="0.25">
      <c r="M91" s="91"/>
    </row>
    <row r="92" spans="1:13" x14ac:dyDescent="0.25">
      <c r="M92" s="91"/>
    </row>
    <row r="93" spans="1:13" x14ac:dyDescent="0.25">
      <c r="A93" s="39" t="s">
        <v>77</v>
      </c>
      <c r="B93" s="92">
        <v>106</v>
      </c>
      <c r="C93" s="30">
        <v>120</v>
      </c>
      <c r="D93" s="30">
        <v>96</v>
      </c>
      <c r="E93" s="30">
        <v>113</v>
      </c>
      <c r="F93" s="30">
        <v>130</v>
      </c>
      <c r="G93" s="30">
        <v>125</v>
      </c>
      <c r="H93" s="81">
        <v>111</v>
      </c>
      <c r="I93" s="30">
        <v>125</v>
      </c>
      <c r="J93" s="30">
        <v>114</v>
      </c>
      <c r="K93" s="30">
        <v>134</v>
      </c>
      <c r="M93" s="91"/>
    </row>
    <row r="94" spans="1:13" x14ac:dyDescent="0.25">
      <c r="A94" s="98" t="s">
        <v>78</v>
      </c>
      <c r="B94" s="96">
        <v>28</v>
      </c>
      <c r="C94" s="82">
        <v>29</v>
      </c>
      <c r="D94" s="82">
        <v>29</v>
      </c>
      <c r="E94" s="82">
        <v>29</v>
      </c>
      <c r="F94" s="82">
        <v>29</v>
      </c>
      <c r="G94" s="82">
        <v>109</v>
      </c>
      <c r="H94" s="82">
        <v>109</v>
      </c>
      <c r="I94" s="82">
        <v>109</v>
      </c>
      <c r="J94" s="82">
        <v>109</v>
      </c>
      <c r="K94" s="82">
        <v>109</v>
      </c>
      <c r="M94" s="91"/>
    </row>
    <row r="95" spans="1:13" x14ac:dyDescent="0.25">
      <c r="A95" s="39" t="s">
        <v>76</v>
      </c>
      <c r="B95" s="92">
        <f>+B93+B94</f>
        <v>134</v>
      </c>
      <c r="C95" s="30">
        <f t="shared" ref="C95:K95" si="37">+C93+C94</f>
        <v>149</v>
      </c>
      <c r="D95" s="30">
        <v>125</v>
      </c>
      <c r="E95" s="30">
        <v>142</v>
      </c>
      <c r="F95" s="30">
        <f t="shared" si="37"/>
        <v>159</v>
      </c>
      <c r="G95" s="30">
        <f t="shared" si="37"/>
        <v>234</v>
      </c>
      <c r="H95" s="30">
        <f t="shared" si="37"/>
        <v>220</v>
      </c>
      <c r="I95" s="30">
        <f t="shared" si="37"/>
        <v>234</v>
      </c>
      <c r="J95" s="30">
        <f t="shared" si="37"/>
        <v>223</v>
      </c>
      <c r="K95" s="30">
        <f t="shared" si="37"/>
        <v>243</v>
      </c>
      <c r="M95" s="91"/>
    </row>
    <row r="96" spans="1:13" x14ac:dyDescent="0.25">
      <c r="A96" s="40" t="s">
        <v>119</v>
      </c>
      <c r="B96" s="12">
        <f>+B48</f>
        <v>33903</v>
      </c>
      <c r="C96" s="80">
        <f t="shared" ref="C96:K96" si="38">+C48</f>
        <v>32583</v>
      </c>
      <c r="D96" s="80">
        <v>31207</v>
      </c>
      <c r="E96" s="80">
        <v>30843</v>
      </c>
      <c r="F96" s="80">
        <v>29474</v>
      </c>
      <c r="G96" s="80">
        <f t="shared" si="38"/>
        <v>28222</v>
      </c>
      <c r="H96" s="80">
        <f t="shared" si="38"/>
        <v>27519</v>
      </c>
      <c r="I96" s="80">
        <f t="shared" si="38"/>
        <v>26406</v>
      </c>
      <c r="J96" s="80">
        <f t="shared" si="38"/>
        <v>25792</v>
      </c>
      <c r="K96" s="80">
        <f t="shared" si="38"/>
        <v>25642</v>
      </c>
      <c r="M96" s="91"/>
    </row>
    <row r="97" spans="1:14" ht="15.75" thickBot="1" x14ac:dyDescent="0.3">
      <c r="A97" s="16" t="s">
        <v>120</v>
      </c>
      <c r="B97" s="24">
        <f>B95/B96</f>
        <v>3.9524525853169333E-3</v>
      </c>
      <c r="C97" s="24">
        <f t="shared" ref="C97:K97" si="39">C95/C96</f>
        <v>4.5729368075376727E-3</v>
      </c>
      <c r="D97" s="24">
        <v>4.0055115839395007E-3</v>
      </c>
      <c r="E97" s="24">
        <v>4.6039620011023574E-3</v>
      </c>
      <c r="F97" s="24">
        <f t="shared" si="39"/>
        <v>5.3945850580172355E-3</v>
      </c>
      <c r="G97" s="24">
        <f t="shared" si="39"/>
        <v>8.2914038693218065E-3</v>
      </c>
      <c r="H97" s="24">
        <f t="shared" si="39"/>
        <v>7.9944765434790503E-3</v>
      </c>
      <c r="I97" s="24">
        <f t="shared" si="39"/>
        <v>8.8616223585548746E-3</v>
      </c>
      <c r="J97" s="24">
        <f t="shared" si="39"/>
        <v>8.6460918114143921E-3</v>
      </c>
      <c r="K97" s="24">
        <f t="shared" si="39"/>
        <v>9.4766398876842683E-3</v>
      </c>
      <c r="M97" s="91"/>
    </row>
    <row r="98" spans="1:14" x14ac:dyDescent="0.25">
      <c r="M98" s="91"/>
    </row>
    <row r="99" spans="1:14" x14ac:dyDescent="0.25">
      <c r="M99" s="91"/>
    </row>
    <row r="100" spans="1:14" x14ac:dyDescent="0.25">
      <c r="A100" s="35" t="s">
        <v>74</v>
      </c>
      <c r="B100" s="92">
        <f>+B86</f>
        <v>16</v>
      </c>
      <c r="C100" s="30">
        <f t="shared" ref="C100:K100" si="40">+C86</f>
        <v>-18</v>
      </c>
      <c r="D100" s="30">
        <v>-22</v>
      </c>
      <c r="E100" s="30">
        <v>-21</v>
      </c>
      <c r="F100" s="30">
        <v>-12</v>
      </c>
      <c r="G100" s="30">
        <f t="shared" si="40"/>
        <v>75</v>
      </c>
      <c r="H100" s="30">
        <f t="shared" si="40"/>
        <v>75</v>
      </c>
      <c r="I100" s="30">
        <f t="shared" si="40"/>
        <v>61</v>
      </c>
      <c r="J100" s="30">
        <f t="shared" si="40"/>
        <v>42</v>
      </c>
      <c r="K100" s="30">
        <f t="shared" si="40"/>
        <v>37</v>
      </c>
      <c r="M100" s="91"/>
    </row>
    <row r="101" spans="1:14" s="15" customFormat="1" x14ac:dyDescent="0.25">
      <c r="A101" s="39"/>
      <c r="B101" s="92"/>
      <c r="C101" s="30"/>
      <c r="D101" s="30"/>
      <c r="E101" s="30"/>
      <c r="F101" s="30"/>
      <c r="G101" s="30"/>
      <c r="H101" s="31"/>
      <c r="I101" s="31"/>
      <c r="J101" s="30"/>
      <c r="K101" s="30"/>
      <c r="L101" s="90"/>
      <c r="M101" s="91"/>
      <c r="N101"/>
    </row>
    <row r="102" spans="1:14" x14ac:dyDescent="0.25">
      <c r="A102" s="35" t="s">
        <v>20</v>
      </c>
      <c r="B102" s="92">
        <f>B100/4*4</f>
        <v>16</v>
      </c>
      <c r="C102" s="30">
        <f>C100/4*4</f>
        <v>-18</v>
      </c>
      <c r="D102" s="30">
        <v>-29.333333333333332</v>
      </c>
      <c r="E102" s="30">
        <v>-42</v>
      </c>
      <c r="F102" s="30">
        <v>-48</v>
      </c>
      <c r="G102" s="30">
        <f>G100/4*4</f>
        <v>75</v>
      </c>
      <c r="H102" s="30">
        <f>H100/3*4</f>
        <v>100</v>
      </c>
      <c r="I102" s="30">
        <f>I100/2*4</f>
        <v>122</v>
      </c>
      <c r="J102" s="30">
        <f>J100*4</f>
        <v>168</v>
      </c>
      <c r="K102" s="30">
        <f>K100/4*4</f>
        <v>37</v>
      </c>
      <c r="M102" s="91"/>
    </row>
    <row r="103" spans="1:14" x14ac:dyDescent="0.25">
      <c r="A103" s="13" t="s">
        <v>18</v>
      </c>
      <c r="B103" s="92">
        <f>AVERAGE(B79:C79)</f>
        <v>52619</v>
      </c>
      <c r="C103" s="83">
        <f>AVERAGE(C79:G79)</f>
        <v>49225.2</v>
      </c>
      <c r="D103" s="83">
        <v>48570.25</v>
      </c>
      <c r="E103" s="83">
        <v>48121</v>
      </c>
      <c r="F103" s="80">
        <v>47460.5</v>
      </c>
      <c r="G103" s="80">
        <f>(G72+I72+H72+J72+K72)/5</f>
        <v>44634.8</v>
      </c>
      <c r="H103" s="80">
        <f>(H72+J72+I72+K72)/4</f>
        <v>44113.75</v>
      </c>
      <c r="I103" s="80">
        <f>(I72+K72+J72)/3</f>
        <v>43565.666666666664</v>
      </c>
      <c r="J103" s="80">
        <f>(J72+K72)/2</f>
        <v>43150.5</v>
      </c>
      <c r="K103" s="80">
        <v>40432</v>
      </c>
      <c r="M103" s="91"/>
    </row>
    <row r="104" spans="1:14" s="3" customFormat="1" ht="30.75" thickBot="1" x14ac:dyDescent="0.3">
      <c r="A104" s="17" t="s">
        <v>80</v>
      </c>
      <c r="B104" s="25">
        <f>B102/B103</f>
        <v>3.0407267336893517E-4</v>
      </c>
      <c r="C104" s="25">
        <f t="shared" ref="C104:F104" si="41">C102/C103</f>
        <v>-3.6566636600765464E-4</v>
      </c>
      <c r="D104" s="25">
        <v>-6.0393622296227279E-4</v>
      </c>
      <c r="E104" s="25">
        <v>-8.7279981712765737E-4</v>
      </c>
      <c r="F104" s="25">
        <f t="shared" si="41"/>
        <v>-1.0113673475837801E-3</v>
      </c>
      <c r="G104" s="25">
        <f t="shared" ref="G104" si="42">G102/G103</f>
        <v>1.6803032611325691E-3</v>
      </c>
      <c r="H104" s="25">
        <f t="shared" ref="H104" si="43">H102/H103</f>
        <v>2.2668669065767475E-3</v>
      </c>
      <c r="I104" s="25">
        <f t="shared" ref="I104:K104" si="44">I102/I103</f>
        <v>2.800370322195613E-3</v>
      </c>
      <c r="J104" s="25">
        <f t="shared" si="44"/>
        <v>3.8933500191191297E-3</v>
      </c>
      <c r="K104" s="25">
        <f t="shared" si="44"/>
        <v>9.1511673921646224E-4</v>
      </c>
      <c r="L104" s="88"/>
      <c r="M104" s="91"/>
      <c r="N104"/>
    </row>
    <row r="105" spans="1:14" x14ac:dyDescent="0.25">
      <c r="M105" s="91"/>
    </row>
    <row r="106" spans="1:14" x14ac:dyDescent="0.25">
      <c r="C106" s="22"/>
      <c r="D106" s="22"/>
      <c r="E106" s="22"/>
      <c r="F106" s="22"/>
      <c r="G106" s="22"/>
      <c r="H106" s="22"/>
      <c r="I106" s="22"/>
      <c r="J106" s="22"/>
      <c r="K106" s="28"/>
      <c r="M106" s="91"/>
    </row>
    <row r="107" spans="1:14" x14ac:dyDescent="0.25">
      <c r="A107" s="35" t="s">
        <v>77</v>
      </c>
      <c r="B107" s="92">
        <f>+B93</f>
        <v>106</v>
      </c>
      <c r="C107" s="30">
        <f>+C93</f>
        <v>120</v>
      </c>
      <c r="D107" s="30">
        <v>96</v>
      </c>
      <c r="E107" s="30">
        <v>113</v>
      </c>
      <c r="F107" s="30">
        <f>+F93</f>
        <v>130</v>
      </c>
      <c r="G107" s="30">
        <v>125</v>
      </c>
      <c r="H107" s="81">
        <v>111</v>
      </c>
      <c r="I107" s="30">
        <v>125</v>
      </c>
      <c r="J107" s="30">
        <v>114</v>
      </c>
      <c r="K107" s="30">
        <v>134</v>
      </c>
      <c r="M107" s="91"/>
    </row>
    <row r="108" spans="1:14" x14ac:dyDescent="0.25">
      <c r="A108" s="13" t="s">
        <v>78</v>
      </c>
      <c r="B108" s="96">
        <f>+B94</f>
        <v>28</v>
      </c>
      <c r="C108" s="82">
        <f>+C94</f>
        <v>29</v>
      </c>
      <c r="D108" s="82">
        <v>29</v>
      </c>
      <c r="E108" s="82">
        <v>29</v>
      </c>
      <c r="F108" s="82">
        <f>+F94</f>
        <v>29</v>
      </c>
      <c r="G108" s="82">
        <v>109</v>
      </c>
      <c r="H108" s="82">
        <v>109</v>
      </c>
      <c r="I108" s="82">
        <v>109</v>
      </c>
      <c r="J108" s="82">
        <v>109</v>
      </c>
      <c r="K108" s="82">
        <v>109</v>
      </c>
      <c r="M108" s="91"/>
    </row>
    <row r="109" spans="1:14" x14ac:dyDescent="0.25">
      <c r="A109" s="35" t="s">
        <v>76</v>
      </c>
      <c r="B109" s="92">
        <f>+B107+B108</f>
        <v>134</v>
      </c>
      <c r="C109" s="30">
        <f>+C107+C108</f>
        <v>149</v>
      </c>
      <c r="D109" s="30">
        <v>125</v>
      </c>
      <c r="E109" s="30">
        <v>142</v>
      </c>
      <c r="F109" s="30">
        <f>+F107+F108</f>
        <v>159</v>
      </c>
      <c r="G109" s="30">
        <f t="shared" ref="G109:K109" si="45">+G107+G108</f>
        <v>234</v>
      </c>
      <c r="H109" s="30">
        <f t="shared" si="45"/>
        <v>220</v>
      </c>
      <c r="I109" s="30">
        <f t="shared" si="45"/>
        <v>234</v>
      </c>
      <c r="J109" s="30">
        <f t="shared" si="45"/>
        <v>223</v>
      </c>
      <c r="K109" s="30">
        <f t="shared" si="45"/>
        <v>243</v>
      </c>
      <c r="L109" s="90"/>
      <c r="M109" s="91"/>
    </row>
    <row r="110" spans="1:14" x14ac:dyDescent="0.25">
      <c r="A110" s="40" t="s">
        <v>14</v>
      </c>
      <c r="B110" s="12">
        <f>+B72</f>
        <v>53393</v>
      </c>
      <c r="C110" s="80">
        <f>+C72</f>
        <v>51845</v>
      </c>
      <c r="D110" s="80">
        <v>49918</v>
      </c>
      <c r="E110" s="80">
        <v>49442</v>
      </c>
      <c r="F110" s="80">
        <v>48202</v>
      </c>
      <c r="G110" s="80">
        <f>+G72</f>
        <v>46719</v>
      </c>
      <c r="H110" s="80">
        <f t="shared" ref="H110:K110" si="46">+H72</f>
        <v>45758</v>
      </c>
      <c r="I110" s="80">
        <f t="shared" si="46"/>
        <v>44396</v>
      </c>
      <c r="J110" s="80">
        <f t="shared" si="46"/>
        <v>43723</v>
      </c>
      <c r="K110" s="80">
        <f t="shared" si="46"/>
        <v>42578</v>
      </c>
      <c r="L110" s="90"/>
      <c r="M110" s="91"/>
    </row>
    <row r="111" spans="1:14" ht="30.75" thickBot="1" x14ac:dyDescent="0.3">
      <c r="A111" s="16" t="s">
        <v>17</v>
      </c>
      <c r="B111" s="24">
        <f>B109/B110</f>
        <v>2.5096922817597813E-3</v>
      </c>
      <c r="C111" s="24">
        <f t="shared" ref="C111:F111" si="47">C109/C110</f>
        <v>2.8739512006943774E-3</v>
      </c>
      <c r="D111" s="24">
        <v>2.5041067350454744E-3</v>
      </c>
      <c r="E111" s="24">
        <v>2.8720521014522068E-3</v>
      </c>
      <c r="F111" s="24">
        <f t="shared" si="47"/>
        <v>3.2986183145927556E-3</v>
      </c>
      <c r="G111" s="24">
        <f>G109/G110</f>
        <v>5.0086688499325757E-3</v>
      </c>
      <c r="H111" s="24">
        <f t="shared" ref="H111:K111" si="48">H109/H110</f>
        <v>4.8079024432886057E-3</v>
      </c>
      <c r="I111" s="24">
        <f t="shared" si="48"/>
        <v>5.2707451121722674E-3</v>
      </c>
      <c r="J111" s="24">
        <f t="shared" si="48"/>
        <v>5.1002904649726693E-3</v>
      </c>
      <c r="K111" s="24">
        <f t="shared" si="48"/>
        <v>5.7071727183052277E-3</v>
      </c>
      <c r="L111" s="90"/>
      <c r="M111" s="91"/>
    </row>
    <row r="112" spans="1:14" x14ac:dyDescent="0.25">
      <c r="B112" s="75"/>
      <c r="C112" s="75"/>
      <c r="D112" s="75"/>
      <c r="E112" s="75"/>
      <c r="F112" s="75"/>
      <c r="G112" s="75"/>
      <c r="H112" s="75"/>
      <c r="I112" s="75"/>
      <c r="J112" s="75"/>
      <c r="L112" s="90"/>
      <c r="M112"/>
    </row>
    <row r="113" spans="1:24" x14ac:dyDescent="0.25">
      <c r="L113" s="90"/>
      <c r="M113" s="91"/>
      <c r="P113" s="73">
        <f>AVERAGE(G69:$K69)</f>
        <v>44634.8</v>
      </c>
      <c r="Q113" s="73">
        <f>AVERAGE(H69:$K69)</f>
        <v>44113.75</v>
      </c>
      <c r="R113" s="73">
        <f>AVERAGE(I69:$K69)</f>
        <v>43565.666666666664</v>
      </c>
      <c r="S113" s="73">
        <f>AVERAGE(J69:$K69)</f>
        <v>43150.5</v>
      </c>
      <c r="T113" s="19"/>
      <c r="U113" s="19"/>
      <c r="V113" s="22" t="s">
        <v>103</v>
      </c>
      <c r="W113" s="19"/>
      <c r="X113" s="19"/>
    </row>
    <row r="114" spans="1:24" s="15" customFormat="1" x14ac:dyDescent="0.25">
      <c r="A114" s="39" t="s">
        <v>86</v>
      </c>
      <c r="B114" s="66">
        <v>1.17</v>
      </c>
      <c r="C114" s="66">
        <v>0.47</v>
      </c>
      <c r="D114" s="66">
        <v>0.37</v>
      </c>
      <c r="E114" s="66">
        <v>0.36</v>
      </c>
      <c r="F114" s="66">
        <v>0.46</v>
      </c>
      <c r="G114" s="65">
        <v>0.69335999999999998</v>
      </c>
      <c r="H114" s="66">
        <v>0.79801</v>
      </c>
      <c r="I114" s="66">
        <v>1.0606800000000001</v>
      </c>
      <c r="J114" s="66">
        <v>1.6559900000000001</v>
      </c>
      <c r="K114" s="66">
        <v>1.5542800000000001</v>
      </c>
      <c r="L114" s="90"/>
      <c r="M114" s="91"/>
      <c r="N114" s="26" t="s">
        <v>121</v>
      </c>
      <c r="P114" s="73">
        <f>AVERAGE(G44:$K44)</f>
        <v>26552.400000000001</v>
      </c>
      <c r="Q114" s="73">
        <f>AVERAGE(H44:$K44)</f>
        <v>26173.25</v>
      </c>
      <c r="R114" s="73">
        <f>AVERAGE(I44:$K44)</f>
        <v>25777.666666666668</v>
      </c>
      <c r="S114" s="73">
        <f>AVERAGE(J44:K44)</f>
        <v>25557.5</v>
      </c>
      <c r="T114" s="22"/>
      <c r="U114" s="22"/>
      <c r="V114" s="22" t="s">
        <v>101</v>
      </c>
      <c r="W114" s="22"/>
      <c r="X114" s="22"/>
    </row>
    <row r="115" spans="1:24" s="15" customFormat="1" x14ac:dyDescent="0.25">
      <c r="A115" s="39" t="s">
        <v>85</v>
      </c>
      <c r="B115" s="28">
        <v>90</v>
      </c>
      <c r="C115" s="47">
        <v>365</v>
      </c>
      <c r="D115" s="47">
        <v>273</v>
      </c>
      <c r="E115" s="47">
        <v>181</v>
      </c>
      <c r="F115" s="47">
        <v>90</v>
      </c>
      <c r="G115" s="52">
        <v>366</v>
      </c>
      <c r="H115" s="47">
        <v>275</v>
      </c>
      <c r="I115" s="47">
        <v>182</v>
      </c>
      <c r="J115" s="47">
        <v>91</v>
      </c>
      <c r="K115" s="47">
        <v>365</v>
      </c>
      <c r="L115" s="90"/>
      <c r="M115" s="91"/>
      <c r="N115"/>
      <c r="P115" s="73">
        <f>AVERAGE(G48:$K48)</f>
        <v>26716.2</v>
      </c>
      <c r="Q115" s="73">
        <f>AVERAGE(H48:$K48)</f>
        <v>26339.75</v>
      </c>
      <c r="R115" s="73">
        <f>AVERAGE(I48:$K48)</f>
        <v>25946.666666666668</v>
      </c>
      <c r="S115" s="73">
        <f>AVERAGE(J48:$K48)</f>
        <v>25717</v>
      </c>
      <c r="T115" s="22"/>
      <c r="U115" s="22"/>
      <c r="V115" s="22" t="s">
        <v>102</v>
      </c>
      <c r="W115" s="22"/>
      <c r="X115" s="22"/>
    </row>
    <row r="116" spans="1:24" s="15" customFormat="1" x14ac:dyDescent="0.25">
      <c r="A116" s="39"/>
      <c r="B116" s="28"/>
      <c r="C116" s="47"/>
      <c r="D116" s="47"/>
      <c r="E116" s="47"/>
      <c r="F116" s="47"/>
      <c r="G116" s="52"/>
      <c r="H116" s="47"/>
      <c r="I116" s="47"/>
      <c r="J116" s="47"/>
      <c r="K116" s="47"/>
      <c r="L116" s="90"/>
      <c r="M116" s="91"/>
      <c r="N116"/>
    </row>
    <row r="117" spans="1:24" s="28" customFormat="1" x14ac:dyDescent="0.25">
      <c r="A117" s="28" t="s">
        <v>87</v>
      </c>
      <c r="B117" s="30">
        <v>16138</v>
      </c>
      <c r="C117" s="30">
        <f>18090-C118</f>
        <v>14519</v>
      </c>
      <c r="D117" s="30">
        <v>14514</v>
      </c>
      <c r="E117" s="30">
        <v>14559</v>
      </c>
      <c r="F117" s="30">
        <f>18314-F118</f>
        <v>14394</v>
      </c>
      <c r="G117" s="30">
        <v>12950</v>
      </c>
      <c r="H117" s="30">
        <v>12710</v>
      </c>
      <c r="I117" s="30">
        <v>12550</v>
      </c>
      <c r="J117" s="30">
        <v>12133</v>
      </c>
      <c r="K117" s="30">
        <v>10650</v>
      </c>
      <c r="M117" s="91"/>
      <c r="N117" s="26" t="s">
        <v>121</v>
      </c>
      <c r="P117" s="73">
        <f>+G117+G129</f>
        <v>26450</v>
      </c>
      <c r="Q117" s="73">
        <f t="shared" ref="Q117:T117" si="49">+H117+H129</f>
        <v>25800</v>
      </c>
      <c r="R117" s="73">
        <f t="shared" si="49"/>
        <v>25675</v>
      </c>
      <c r="S117" s="73">
        <f t="shared" si="49"/>
        <v>25834</v>
      </c>
      <c r="T117" s="73">
        <f t="shared" si="49"/>
        <v>23560</v>
      </c>
      <c r="U117" s="22" t="s">
        <v>100</v>
      </c>
      <c r="V117" s="22"/>
    </row>
    <row r="118" spans="1:24" s="28" customFormat="1" x14ac:dyDescent="0.25">
      <c r="A118" s="28" t="s">
        <v>88</v>
      </c>
      <c r="B118" s="30">
        <v>3235</v>
      </c>
      <c r="C118" s="30">
        <v>3571</v>
      </c>
      <c r="D118" s="30">
        <v>3725</v>
      </c>
      <c r="E118" s="30">
        <v>3826</v>
      </c>
      <c r="F118" s="30">
        <v>3920</v>
      </c>
      <c r="G118" s="30">
        <v>4079</v>
      </c>
      <c r="H118" s="30">
        <v>4125</v>
      </c>
      <c r="I118" s="30">
        <v>4121</v>
      </c>
      <c r="J118" s="30">
        <v>4067</v>
      </c>
      <c r="K118" s="30">
        <v>4313</v>
      </c>
      <c r="M118" s="91"/>
      <c r="N118" s="26" t="s">
        <v>121</v>
      </c>
      <c r="P118" s="73">
        <f>+G118+G130</f>
        <v>17844</v>
      </c>
      <c r="Q118" s="73">
        <f t="shared" ref="Q118:T118" si="50">+H118+H130</f>
        <v>17747</v>
      </c>
      <c r="R118" s="73">
        <f t="shared" si="50"/>
        <v>17579</v>
      </c>
      <c r="S118" s="73">
        <f t="shared" si="50"/>
        <v>17101</v>
      </c>
      <c r="T118" s="73">
        <f t="shared" si="50"/>
        <v>16523</v>
      </c>
      <c r="U118" s="22" t="s">
        <v>98</v>
      </c>
      <c r="V118" s="22"/>
    </row>
    <row r="119" spans="1:24" s="28" customFormat="1" x14ac:dyDescent="0.25">
      <c r="A119" s="28" t="s">
        <v>83</v>
      </c>
      <c r="B119" s="30">
        <f>158.353-1</f>
        <v>157.35300000000001</v>
      </c>
      <c r="C119" s="30">
        <f>497-6</f>
        <v>491</v>
      </c>
      <c r="D119" s="30">
        <v>362.3</v>
      </c>
      <c r="E119" s="30">
        <v>241.89999999999998</v>
      </c>
      <c r="F119" s="30">
        <v>121.5</v>
      </c>
      <c r="G119" s="71">
        <v>492.95800000000003</v>
      </c>
      <c r="H119" s="30">
        <v>380.67900000000003</v>
      </c>
      <c r="I119" s="30">
        <v>269.61900000000003</v>
      </c>
      <c r="J119" s="30">
        <f>143.172-2</f>
        <v>141.172</v>
      </c>
      <c r="K119" s="30">
        <v>466.428</v>
      </c>
      <c r="M119" s="91"/>
      <c r="N119" s="26" t="s">
        <v>122</v>
      </c>
      <c r="P119" s="73">
        <f>SUM(P117:P118)</f>
        <v>44294</v>
      </c>
      <c r="Q119" s="73">
        <f t="shared" ref="Q119:T119" si="51">SUM(Q117:Q118)</f>
        <v>43547</v>
      </c>
      <c r="R119" s="73">
        <f t="shared" si="51"/>
        <v>43254</v>
      </c>
      <c r="S119" s="73">
        <f t="shared" si="51"/>
        <v>42935</v>
      </c>
      <c r="T119" s="73">
        <f t="shared" si="51"/>
        <v>40083</v>
      </c>
      <c r="U119" s="22" t="s">
        <v>99</v>
      </c>
      <c r="V119" s="22"/>
    </row>
    <row r="120" spans="1:24" s="28" customFormat="1" x14ac:dyDescent="0.25">
      <c r="A120" s="28" t="s">
        <v>84</v>
      </c>
      <c r="B120" s="30">
        <v>29</v>
      </c>
      <c r="C120" s="30">
        <v>109</v>
      </c>
      <c r="D120" s="30">
        <v>83</v>
      </c>
      <c r="E120" s="30">
        <v>57.6</v>
      </c>
      <c r="F120" s="30">
        <v>30</v>
      </c>
      <c r="G120" s="71">
        <v>144</v>
      </c>
      <c r="H120" s="30">
        <v>115</v>
      </c>
      <c r="I120" s="30">
        <v>83.8</v>
      </c>
      <c r="J120" s="30">
        <v>45.5</v>
      </c>
      <c r="K120" s="30">
        <v>176.833</v>
      </c>
      <c r="M120" s="91"/>
      <c r="N120" s="26" t="s">
        <v>123</v>
      </c>
    </row>
    <row r="121" spans="1:24" s="28" customFormat="1" x14ac:dyDescent="0.25">
      <c r="A121" s="67" t="s">
        <v>24</v>
      </c>
      <c r="B121" s="72">
        <f>+(B117+B118)*B114%*B115/365</f>
        <v>55.889778082191775</v>
      </c>
      <c r="C121" s="72">
        <f>+(C117+C118)*C114%*C115/365</f>
        <v>85.022999999999982</v>
      </c>
      <c r="D121" s="72">
        <v>50.47455863013699</v>
      </c>
      <c r="E121" s="72">
        <v>32.821002739726026</v>
      </c>
      <c r="F121" s="72">
        <f>+(F117+F118)*F114%*F115/365</f>
        <v>20.772591780821919</v>
      </c>
      <c r="G121" s="72">
        <f>+(G117+G118)*G114%*G115/366</f>
        <v>118.0722744</v>
      </c>
      <c r="H121" s="72">
        <f t="shared" ref="H121:I121" si="52">+(H117+H118)*H114%*H115/366</f>
        <v>100.94226902322406</v>
      </c>
      <c r="I121" s="72">
        <f t="shared" si="52"/>
        <v>87.929850354098363</v>
      </c>
      <c r="J121" s="72">
        <f>+(J117+J118)*J114%*J115/366</f>
        <v>66.701105409836075</v>
      </c>
      <c r="K121" s="72">
        <f>+(K117+K118)*K114%*K115/365</f>
        <v>232.5669164</v>
      </c>
      <c r="M121" s="91"/>
      <c r="N121" s="26" t="s">
        <v>124</v>
      </c>
    </row>
    <row r="122" spans="1:24" s="28" customFormat="1" x14ac:dyDescent="0.25">
      <c r="A122" s="47" t="s">
        <v>89</v>
      </c>
      <c r="B122" s="97">
        <f>+B120+B119-B121</f>
        <v>130.46322191780823</v>
      </c>
      <c r="C122" s="71">
        <f>+C120+C119-C121</f>
        <v>514.97699999999998</v>
      </c>
      <c r="D122" s="71">
        <v>394.82544136986303</v>
      </c>
      <c r="E122" s="71">
        <v>266.67899726027395</v>
      </c>
      <c r="F122" s="71">
        <f>+F120+F119-F121</f>
        <v>130.72740821917807</v>
      </c>
      <c r="G122" s="71">
        <f>+G120+G119-G121</f>
        <v>518.88572560000011</v>
      </c>
      <c r="H122" s="71">
        <f t="shared" ref="H122:K122" si="53">+H120+H119-H121</f>
        <v>394.73673097677596</v>
      </c>
      <c r="I122" s="71">
        <f t="shared" si="53"/>
        <v>265.48914964590165</v>
      </c>
      <c r="J122" s="71">
        <f>+J120+J119-J121</f>
        <v>119.97089459016392</v>
      </c>
      <c r="K122" s="71">
        <f t="shared" si="53"/>
        <v>410.6940836</v>
      </c>
      <c r="M122" s="91"/>
      <c r="N122" s="26"/>
    </row>
    <row r="123" spans="1:24" s="64" customFormat="1" ht="15.75" thickBot="1" x14ac:dyDescent="0.3">
      <c r="A123" s="16" t="s">
        <v>108</v>
      </c>
      <c r="B123" s="24">
        <f>+B122*(365/B115)/(B117+B118)</f>
        <v>2.7311249906800415E-2</v>
      </c>
      <c r="C123" s="24">
        <f>+C122*(365/C115)/(C117+C118)</f>
        <v>2.8467495854063017E-2</v>
      </c>
      <c r="D123" s="24">
        <v>2.8942385485194847E-2</v>
      </c>
      <c r="E123" s="24">
        <v>2.9250915876953498E-2</v>
      </c>
      <c r="F123" s="24">
        <f>+F122*(365/F115)/(F117+F118)</f>
        <v>2.894901532525208E-2</v>
      </c>
      <c r="G123" s="24">
        <f>+G122*(366/G115)/(G117+G118)</f>
        <v>3.047071029420401E-2</v>
      </c>
      <c r="H123" s="24">
        <f t="shared" ref="H123:J123" si="54">+H122*(366/H115)/(H117+H118)</f>
        <v>3.1206338210438209E-2</v>
      </c>
      <c r="I123" s="24">
        <f t="shared" si="54"/>
        <v>3.2025419139507245E-2</v>
      </c>
      <c r="J123" s="24">
        <f t="shared" si="54"/>
        <v>2.9785203785103784E-2</v>
      </c>
      <c r="K123" s="24">
        <f>+K122*(365/K115)/(K117+K118)</f>
        <v>2.7447308935373921E-2</v>
      </c>
      <c r="L123" s="28"/>
      <c r="M123" s="91"/>
      <c r="N123" s="28" t="s">
        <v>125</v>
      </c>
    </row>
    <row r="124" spans="1:24" s="28" customFormat="1" hidden="1" x14ac:dyDescent="0.25">
      <c r="A124" s="47"/>
      <c r="B124" s="74"/>
      <c r="C124" s="74">
        <f>+(C119+C120)*(365/C115)/(C117+C118)</f>
        <v>3.316749585406302E-2</v>
      </c>
      <c r="D124" s="74">
        <v>3.2642385485194846E-2</v>
      </c>
      <c r="E124" s="74">
        <v>3.2850915876953497E-2</v>
      </c>
      <c r="F124" s="74">
        <f>+(F119+F120)*(365/F115)/(F117+F118)</f>
        <v>3.3549015325252084E-2</v>
      </c>
      <c r="G124" s="68"/>
      <c r="H124" s="69"/>
      <c r="I124" s="69"/>
      <c r="J124" s="69"/>
      <c r="K124" s="69"/>
      <c r="M124" s="91"/>
    </row>
    <row r="125" spans="1:24" s="28" customFormat="1" hidden="1" x14ac:dyDescent="0.25">
      <c r="A125" s="47"/>
      <c r="B125" s="74"/>
      <c r="C125" s="74">
        <f>+(C119)*(365/C115)/(C117)</f>
        <v>3.3817756043804673E-2</v>
      </c>
      <c r="D125" s="74">
        <v>3.3374243688423101E-2</v>
      </c>
      <c r="E125" s="74">
        <v>3.3505693541121873E-2</v>
      </c>
      <c r="F125" s="74">
        <f>+(F119)*(365/F115)/(F117)</f>
        <v>3.4233013755731553E-2</v>
      </c>
      <c r="G125" s="68"/>
      <c r="H125" s="69"/>
      <c r="I125" s="69"/>
      <c r="J125" s="69"/>
      <c r="K125" s="69"/>
      <c r="M125" s="91"/>
    </row>
    <row r="126" spans="1:24" s="28" customFormat="1" hidden="1" x14ac:dyDescent="0.25">
      <c r="A126" s="47"/>
      <c r="B126" s="74"/>
      <c r="C126" s="74">
        <f>+(C120)*(365/C115)/(C118)</f>
        <v>3.0523662839540746E-2</v>
      </c>
      <c r="D126" s="74">
        <v>2.9790790864616366E-2</v>
      </c>
      <c r="E126" s="74">
        <v>3.0359303746104731E-2</v>
      </c>
      <c r="F126" s="74">
        <f>+(F120)*(365/F115)/(F118)</f>
        <v>3.1037414965986391E-2</v>
      </c>
      <c r="G126" s="68"/>
      <c r="H126" s="69"/>
      <c r="I126" s="69"/>
      <c r="J126" s="69"/>
      <c r="K126" s="69"/>
      <c r="M126" s="91"/>
    </row>
    <row r="127" spans="1:24" s="28" customFormat="1" x14ac:dyDescent="0.25">
      <c r="A127" s="47"/>
      <c r="B127" s="26"/>
      <c r="G127" s="54"/>
      <c r="M127" s="91"/>
    </row>
    <row r="128" spans="1:24" s="28" customFormat="1" x14ac:dyDescent="0.25">
      <c r="A128" s="47"/>
      <c r="B128" s="26"/>
      <c r="G128" s="54"/>
      <c r="M128" s="91"/>
    </row>
    <row r="129" spans="1:16" s="28" customFormat="1" x14ac:dyDescent="0.25">
      <c r="A129" s="28" t="s">
        <v>90</v>
      </c>
      <c r="B129" s="30">
        <v>17450</v>
      </c>
      <c r="C129" s="30">
        <f>30997-C130</f>
        <v>16026</v>
      </c>
      <c r="D129" s="30">
        <v>15322</v>
      </c>
      <c r="E129" s="30">
        <v>15020</v>
      </c>
      <c r="F129" s="30">
        <f>29379-F130</f>
        <v>14834</v>
      </c>
      <c r="G129" s="30">
        <v>13500</v>
      </c>
      <c r="H129" s="30">
        <v>13090</v>
      </c>
      <c r="I129" s="30">
        <v>13125</v>
      </c>
      <c r="J129" s="30">
        <v>13701</v>
      </c>
      <c r="K129" s="30">
        <v>12910</v>
      </c>
      <c r="M129" s="91"/>
      <c r="P129" s="22" t="s">
        <v>97</v>
      </c>
    </row>
    <row r="130" spans="1:16" s="28" customFormat="1" x14ac:dyDescent="0.25">
      <c r="A130" s="28" t="s">
        <v>92</v>
      </c>
      <c r="B130" s="30">
        <v>16084</v>
      </c>
      <c r="C130" s="30">
        <v>14971</v>
      </c>
      <c r="D130" s="30">
        <v>14794</v>
      </c>
      <c r="E130" s="30">
        <v>14811</v>
      </c>
      <c r="F130" s="30">
        <v>14545</v>
      </c>
      <c r="G130" s="30">
        <v>13765</v>
      </c>
      <c r="H130" s="30">
        <v>13622</v>
      </c>
      <c r="I130" s="30">
        <v>13458</v>
      </c>
      <c r="J130" s="30">
        <v>13034</v>
      </c>
      <c r="K130" s="30">
        <v>12210</v>
      </c>
      <c r="M130" s="91"/>
    </row>
    <row r="131" spans="1:16" s="28" customFormat="1" x14ac:dyDescent="0.25">
      <c r="A131" s="28" t="s">
        <v>91</v>
      </c>
      <c r="B131" s="30">
        <f>113.334+2</f>
        <v>115.334</v>
      </c>
      <c r="C131" s="30">
        <f>391+6</f>
        <v>397</v>
      </c>
      <c r="D131" s="30">
        <v>290.7</v>
      </c>
      <c r="E131" s="30">
        <v>191</v>
      </c>
      <c r="F131" s="30">
        <f>92.3+2</f>
        <v>94.3</v>
      </c>
      <c r="G131" s="71">
        <v>412.38</v>
      </c>
      <c r="H131" s="30">
        <v>317.82299999999998</v>
      </c>
      <c r="I131" s="30">
        <f>225.46-2.9</f>
        <v>222.56</v>
      </c>
      <c r="J131" s="30">
        <f>123.177+2</f>
        <v>125.17700000000001</v>
      </c>
      <c r="K131" s="30">
        <v>446.20400000000001</v>
      </c>
      <c r="M131" s="91"/>
    </row>
    <row r="132" spans="1:16" s="28" customFormat="1" x14ac:dyDescent="0.25">
      <c r="A132" s="28" t="s">
        <v>93</v>
      </c>
      <c r="B132" s="30">
        <v>87</v>
      </c>
      <c r="C132" s="30">
        <v>290</v>
      </c>
      <c r="D132" s="30">
        <v>212</v>
      </c>
      <c r="E132" s="30">
        <v>139.69999999999999</v>
      </c>
      <c r="F132" s="30">
        <v>69.3</v>
      </c>
      <c r="G132" s="71">
        <v>323.60000000000002</v>
      </c>
      <c r="H132" s="30">
        <v>254.3</v>
      </c>
      <c r="I132" s="30">
        <v>185.2</v>
      </c>
      <c r="J132" s="30">
        <v>100.78</v>
      </c>
      <c r="K132" s="30">
        <v>346.76</v>
      </c>
      <c r="M132" s="91"/>
    </row>
    <row r="133" spans="1:16" s="28" customFormat="1" x14ac:dyDescent="0.25">
      <c r="A133" s="67" t="s">
        <v>24</v>
      </c>
      <c r="B133" s="72">
        <f>+(B129+B130)*B114%*B115/365</f>
        <v>96.74329315068492</v>
      </c>
      <c r="C133" s="72">
        <f>+(C129+C130)*C114%*C115/365</f>
        <v>145.68589999999998</v>
      </c>
      <c r="D133" s="72">
        <v>83.342935890410956</v>
      </c>
      <c r="E133" s="72">
        <v>53.25446465753425</v>
      </c>
      <c r="F133" s="72">
        <f>+(F129+F130)*F114%*F115/365</f>
        <v>33.323030136986297</v>
      </c>
      <c r="G133" s="72">
        <f>+(G129+G130)*G114%*G115/366</f>
        <v>189.04460400000002</v>
      </c>
      <c r="H133" s="72">
        <f t="shared" ref="H133:J133" si="55">+(H129+H130)*H114%*H115/366</f>
        <v>160.16453163934429</v>
      </c>
      <c r="I133" s="72">
        <f t="shared" si="55"/>
        <v>140.2098981442623</v>
      </c>
      <c r="J133" s="72">
        <f t="shared" si="55"/>
        <v>110.07741068715848</v>
      </c>
      <c r="K133" s="72">
        <f>+(K129+K130)*K114%*K115/365</f>
        <v>390.435136</v>
      </c>
      <c r="M133" s="91"/>
    </row>
    <row r="134" spans="1:16" s="28" customFormat="1" x14ac:dyDescent="0.25">
      <c r="A134" s="47" t="s">
        <v>89</v>
      </c>
      <c r="B134" s="97">
        <f>+B132+B131-B133</f>
        <v>105.59070684931508</v>
      </c>
      <c r="C134" s="71">
        <f t="shared" ref="C134:F134" si="56">+C132+C131-C133</f>
        <v>541.31410000000005</v>
      </c>
      <c r="D134" s="71">
        <v>419.35706410958903</v>
      </c>
      <c r="E134" s="71">
        <v>277.44553534246575</v>
      </c>
      <c r="F134" s="71">
        <f t="shared" si="56"/>
        <v>130.2769698630137</v>
      </c>
      <c r="G134" s="71">
        <f>+G132+G131-G133</f>
        <v>546.93539599999997</v>
      </c>
      <c r="H134" s="71">
        <f t="shared" ref="H134:K134" si="57">+H132+H131-H133</f>
        <v>411.95846836065573</v>
      </c>
      <c r="I134" s="71">
        <f t="shared" si="57"/>
        <v>267.55010185573769</v>
      </c>
      <c r="J134" s="71">
        <f t="shared" si="57"/>
        <v>115.87958931284152</v>
      </c>
      <c r="K134" s="71">
        <f t="shared" si="57"/>
        <v>402.52886399999994</v>
      </c>
      <c r="M134" s="91"/>
    </row>
    <row r="135" spans="1:16" s="64" customFormat="1" ht="15.75" thickBot="1" x14ac:dyDescent="0.3">
      <c r="A135" s="16" t="s">
        <v>107</v>
      </c>
      <c r="B135" s="24">
        <f>+B134*(365/B115)/(B129+B130)</f>
        <v>1.2769993969636125E-2</v>
      </c>
      <c r="C135" s="24">
        <f>+C134*(365/C115)/(C129+C130)</f>
        <v>1.7463435171145597E-2</v>
      </c>
      <c r="D135" s="24">
        <v>1.8617308361271703E-2</v>
      </c>
      <c r="E135" s="24">
        <v>1.8755308754973457E-2</v>
      </c>
      <c r="F135" s="24">
        <f>+F134*(365/F115)/(F129+F130)</f>
        <v>1.7983780553759109E-2</v>
      </c>
      <c r="G135" s="24">
        <f>+G134*(366/G115)/(G129+G130)</f>
        <v>2.0059981514762515E-2</v>
      </c>
      <c r="H135" s="24">
        <f>+H134*(366/H115)/(H129+H130)</f>
        <v>2.0525579163603688E-2</v>
      </c>
      <c r="I135" s="24">
        <f t="shared" ref="I135:J135" si="58">+I134*(366/I115)/(I129+I130)</f>
        <v>2.0240014848620515E-2</v>
      </c>
      <c r="J135" s="24">
        <f t="shared" si="58"/>
        <v>1.7432772074512357E-2</v>
      </c>
      <c r="K135" s="24">
        <f>+K134*(365/K115)/(K129+K130)</f>
        <v>1.6024238216560509E-2</v>
      </c>
      <c r="L135" s="28"/>
      <c r="M135" s="91"/>
      <c r="N135" s="28" t="s">
        <v>125</v>
      </c>
    </row>
    <row r="136" spans="1:16" s="64" customFormat="1" x14ac:dyDescent="0.25">
      <c r="A136" s="61"/>
      <c r="B136" s="46"/>
      <c r="C136" s="69"/>
      <c r="D136" s="69"/>
      <c r="E136" s="69"/>
      <c r="F136" s="63"/>
      <c r="G136" s="62"/>
      <c r="H136" s="63"/>
      <c r="I136" s="63"/>
      <c r="J136" s="63"/>
      <c r="K136" s="63"/>
      <c r="L136" s="28"/>
      <c r="M136" s="91"/>
      <c r="N136"/>
    </row>
    <row r="137" spans="1:16" s="15" customFormat="1" x14ac:dyDescent="0.25">
      <c r="A137" s="47"/>
      <c r="B137" s="46"/>
      <c r="C137" s="69"/>
      <c r="D137" s="69"/>
      <c r="E137" s="69"/>
      <c r="F137" s="69"/>
      <c r="G137" s="68"/>
      <c r="H137" s="69"/>
      <c r="I137" s="69"/>
      <c r="J137" s="69"/>
      <c r="K137" s="69"/>
      <c r="L137" s="90"/>
      <c r="M137" s="91"/>
      <c r="N137"/>
    </row>
    <row r="138" spans="1:16" s="15" customFormat="1" x14ac:dyDescent="0.25">
      <c r="A138" s="47" t="s">
        <v>96</v>
      </c>
      <c r="B138" s="30">
        <v>22926</v>
      </c>
      <c r="C138" s="30">
        <f>18448+1184</f>
        <v>19632</v>
      </c>
      <c r="D138" s="30">
        <v>18866</v>
      </c>
      <c r="E138" s="30">
        <v>18202.5</v>
      </c>
      <c r="F138" s="30">
        <v>17913</v>
      </c>
      <c r="G138" s="71">
        <v>16587</v>
      </c>
      <c r="H138" s="30">
        <v>16295</v>
      </c>
      <c r="I138" s="30">
        <v>15959</v>
      </c>
      <c r="J138" s="30">
        <v>15676</v>
      </c>
      <c r="K138" s="30">
        <v>15189</v>
      </c>
      <c r="L138" s="90"/>
      <c r="M138" s="91"/>
      <c r="N138"/>
    </row>
    <row r="139" spans="1:16" s="15" customFormat="1" x14ac:dyDescent="0.25">
      <c r="A139" s="47"/>
      <c r="B139" s="30"/>
      <c r="C139" s="30"/>
      <c r="D139" s="30"/>
      <c r="E139" s="30"/>
      <c r="F139" s="30"/>
      <c r="G139" s="71"/>
      <c r="H139" s="30"/>
      <c r="I139" s="30"/>
      <c r="J139" s="30"/>
      <c r="K139" s="30"/>
      <c r="L139" s="90"/>
      <c r="M139" s="91"/>
      <c r="N139"/>
    </row>
    <row r="140" spans="1:16" s="15" customFormat="1" x14ac:dyDescent="0.25">
      <c r="A140" s="47" t="s">
        <v>105</v>
      </c>
      <c r="B140" s="30">
        <v>101</v>
      </c>
      <c r="C140" s="30">
        <v>289</v>
      </c>
      <c r="D140" s="30">
        <v>204</v>
      </c>
      <c r="E140" s="30">
        <v>136</v>
      </c>
      <c r="F140" s="30">
        <v>69</v>
      </c>
      <c r="G140" s="71">
        <v>375</v>
      </c>
      <c r="H140" s="30">
        <v>309</v>
      </c>
      <c r="I140" s="30">
        <v>243</v>
      </c>
      <c r="J140" s="30">
        <v>135</v>
      </c>
      <c r="K140" s="30">
        <v>437</v>
      </c>
      <c r="L140" s="90"/>
      <c r="M140" s="91"/>
      <c r="N140" s="90" t="s">
        <v>118</v>
      </c>
    </row>
    <row r="141" spans="1:16" s="15" customFormat="1" x14ac:dyDescent="0.25">
      <c r="A141" s="67" t="s">
        <v>106</v>
      </c>
      <c r="B141" s="80">
        <v>-62.5</v>
      </c>
      <c r="C141" s="80">
        <v>-177</v>
      </c>
      <c r="D141" s="80">
        <v>-126</v>
      </c>
      <c r="E141" s="80">
        <v>-87</v>
      </c>
      <c r="F141" s="80">
        <f>-52+8</f>
        <v>-44</v>
      </c>
      <c r="G141" s="72">
        <f>-245+12-1</f>
        <v>-234</v>
      </c>
      <c r="H141" s="80">
        <f>-194+2</f>
        <v>-192</v>
      </c>
      <c r="I141" s="80">
        <f>-143-8</f>
        <v>-151</v>
      </c>
      <c r="J141" s="80">
        <f>-78-7</f>
        <v>-85</v>
      </c>
      <c r="K141" s="80">
        <f>-264-4</f>
        <v>-268</v>
      </c>
      <c r="L141" s="90"/>
      <c r="M141" s="91"/>
      <c r="N141" s="90" t="s">
        <v>118</v>
      </c>
    </row>
    <row r="142" spans="1:16" s="15" customFormat="1" x14ac:dyDescent="0.25">
      <c r="A142" s="47" t="s">
        <v>94</v>
      </c>
      <c r="B142" s="30">
        <f>+B140+B141</f>
        <v>38.5</v>
      </c>
      <c r="C142" s="30">
        <f>+C140+C141</f>
        <v>112</v>
      </c>
      <c r="D142" s="30">
        <v>78</v>
      </c>
      <c r="E142" s="30">
        <v>49</v>
      </c>
      <c r="F142" s="30">
        <f t="shared" ref="F142:K142" si="59">SUM(F140:F141)</f>
        <v>25</v>
      </c>
      <c r="G142" s="30">
        <f t="shared" si="59"/>
        <v>141</v>
      </c>
      <c r="H142" s="30">
        <f t="shared" si="59"/>
        <v>117</v>
      </c>
      <c r="I142" s="30">
        <f t="shared" si="59"/>
        <v>92</v>
      </c>
      <c r="J142" s="30">
        <f t="shared" si="59"/>
        <v>50</v>
      </c>
      <c r="K142" s="30">
        <f t="shared" si="59"/>
        <v>169</v>
      </c>
      <c r="L142" s="90"/>
      <c r="M142" s="91"/>
      <c r="N142" s="90" t="s">
        <v>118</v>
      </c>
    </row>
    <row r="143" spans="1:16" s="15" customFormat="1" x14ac:dyDescent="0.25">
      <c r="A143" s="47"/>
      <c r="B143" s="30"/>
      <c r="C143" s="30"/>
      <c r="D143" s="30"/>
      <c r="E143" s="30"/>
      <c r="F143" s="30"/>
      <c r="G143" s="30"/>
      <c r="H143" s="30"/>
      <c r="I143" s="30"/>
      <c r="J143" s="30"/>
      <c r="K143" s="30"/>
      <c r="L143" s="90"/>
      <c r="M143" s="91"/>
      <c r="N143"/>
    </row>
    <row r="144" spans="1:16" s="15" customFormat="1" x14ac:dyDescent="0.25">
      <c r="A144" s="67" t="s">
        <v>24</v>
      </c>
      <c r="B144" s="72">
        <f>+B138*B114%*B115/365</f>
        <v>66.139939726027393</v>
      </c>
      <c r="C144" s="72">
        <f>+C138*C114%*C115/365</f>
        <v>92.270399999999995</v>
      </c>
      <c r="D144" s="72">
        <v>52.20971671232877</v>
      </c>
      <c r="E144" s="72">
        <v>32.495202739726025</v>
      </c>
      <c r="F144" s="72">
        <f>+F138*F114%*F115/365</f>
        <v>20.317758904109589</v>
      </c>
      <c r="G144" s="72">
        <f>+G138*G114%*G115/366</f>
        <v>115.0076232</v>
      </c>
      <c r="H144" s="72">
        <f>+H138*H114%*H115/366</f>
        <v>97.704441564207642</v>
      </c>
      <c r="I144" s="72">
        <f>+I138*I114%*I115/366</f>
        <v>84.174463547540995</v>
      </c>
      <c r="J144" s="72">
        <f>+J138*J114%*J115/366</f>
        <v>64.543612864480878</v>
      </c>
      <c r="K144" s="72">
        <f>+K138*K114%*K115/365</f>
        <v>236.07958920000002</v>
      </c>
      <c r="L144" s="90"/>
      <c r="M144" s="91"/>
      <c r="N144"/>
    </row>
    <row r="145" spans="1:20" s="15" customFormat="1" x14ac:dyDescent="0.25">
      <c r="A145" s="47" t="s">
        <v>95</v>
      </c>
      <c r="B145" s="97">
        <f>+B144-B142</f>
        <v>27.639939726027393</v>
      </c>
      <c r="C145" s="71">
        <f>+C144-C142</f>
        <v>-19.729600000000005</v>
      </c>
      <c r="D145" s="71">
        <v>-25.79028328767123</v>
      </c>
      <c r="E145" s="71">
        <v>-16.504797260273975</v>
      </c>
      <c r="F145" s="71">
        <f t="shared" ref="F145" si="60">+F144-F142</f>
        <v>-4.6822410958904115</v>
      </c>
      <c r="G145" s="71">
        <f>+G144-G142</f>
        <v>-25.992376800000002</v>
      </c>
      <c r="H145" s="71">
        <f t="shared" ref="H145:K145" si="61">+H144-H142</f>
        <v>-19.295558435792358</v>
      </c>
      <c r="I145" s="71">
        <f t="shared" si="61"/>
        <v>-7.825536452459005</v>
      </c>
      <c r="J145" s="71">
        <f t="shared" si="61"/>
        <v>14.543612864480878</v>
      </c>
      <c r="K145" s="71">
        <f t="shared" si="61"/>
        <v>67.079589200000015</v>
      </c>
      <c r="L145" s="90"/>
      <c r="M145" s="91"/>
      <c r="N145"/>
    </row>
    <row r="146" spans="1:20" s="70" customFormat="1" ht="15.75" thickBot="1" x14ac:dyDescent="0.3">
      <c r="A146" s="16" t="s">
        <v>109</v>
      </c>
      <c r="B146" s="24">
        <f>+B145*(365/B115)/B138</f>
        <v>4.8894404218403163E-3</v>
      </c>
      <c r="C146" s="24">
        <f>+C145*(365/C115)/C138</f>
        <v>-1.0049714751426246E-3</v>
      </c>
      <c r="D146" s="24">
        <v>-1.8277066832245456E-3</v>
      </c>
      <c r="E146" s="24">
        <v>-1.8284935968209096E-3</v>
      </c>
      <c r="F146" s="24">
        <f>+F145*(365/F115)/F138</f>
        <v>-1.0600730692172662E-3</v>
      </c>
      <c r="G146" s="24">
        <f>+G145*(366/G115)/G138</f>
        <v>-1.5670330258636283E-3</v>
      </c>
      <c r="H146" s="24">
        <f>+H145*(366/H115)/H138</f>
        <v>-1.5759824569723012E-3</v>
      </c>
      <c r="I146" s="24">
        <f>+I145*(366/I115)/I138</f>
        <v>-9.8609360304461355E-4</v>
      </c>
      <c r="J146" s="24">
        <f>+J145*(366/J115)/J138</f>
        <v>3.7314424152270292E-3</v>
      </c>
      <c r="K146" s="24">
        <f>+K145*(365/K115)/K138</f>
        <v>4.416326894463099E-3</v>
      </c>
      <c r="L146" s="90"/>
      <c r="M146" s="91"/>
      <c r="N146"/>
      <c r="T146" s="15"/>
    </row>
    <row r="147" spans="1:20" x14ac:dyDescent="0.25">
      <c r="A147" s="44"/>
      <c r="B147" s="53"/>
      <c r="C147" s="53"/>
      <c r="D147" s="53"/>
      <c r="E147" s="53"/>
      <c r="F147" s="53"/>
      <c r="G147" s="53"/>
      <c r="H147" s="46"/>
      <c r="I147" s="46"/>
      <c r="J147" s="46"/>
      <c r="K147" s="46"/>
      <c r="M147"/>
      <c r="T147" s="15"/>
    </row>
    <row r="148" spans="1:20" x14ac:dyDescent="0.25">
      <c r="A148" s="44"/>
      <c r="B148" s="53"/>
      <c r="C148" s="53"/>
      <c r="D148" s="53"/>
      <c r="E148" s="53"/>
      <c r="F148" s="53"/>
      <c r="G148" s="53"/>
      <c r="H148" s="46"/>
      <c r="I148" s="46"/>
      <c r="J148" s="46"/>
      <c r="K148" s="46"/>
      <c r="M148"/>
      <c r="T148" s="15"/>
    </row>
    <row r="149" spans="1:20" x14ac:dyDescent="0.25">
      <c r="A149" s="44"/>
      <c r="B149" s="53"/>
      <c r="C149" s="53"/>
      <c r="D149" s="53"/>
      <c r="E149" s="53"/>
      <c r="F149" s="53"/>
      <c r="G149" s="53"/>
      <c r="H149" s="46"/>
      <c r="I149" s="46"/>
      <c r="J149" s="46"/>
      <c r="K149" s="46"/>
      <c r="M149"/>
      <c r="T149" s="15"/>
    </row>
    <row r="150" spans="1:20" x14ac:dyDescent="0.25">
      <c r="A150" s="44"/>
      <c r="B150" s="53"/>
      <c r="C150" s="53"/>
      <c r="D150" s="53"/>
      <c r="E150" s="53"/>
      <c r="F150" s="53"/>
      <c r="G150" s="53"/>
      <c r="H150" s="46"/>
      <c r="I150" s="46"/>
      <c r="J150" s="46"/>
      <c r="K150" s="46"/>
      <c r="M150"/>
    </row>
    <row r="151" spans="1:20" x14ac:dyDescent="0.25">
      <c r="A151" s="44"/>
      <c r="B151" s="53"/>
      <c r="C151" s="53"/>
      <c r="D151" s="53"/>
      <c r="E151" s="53"/>
      <c r="F151" s="53"/>
      <c r="G151" s="53"/>
      <c r="H151" s="46"/>
      <c r="I151" s="46"/>
      <c r="J151" s="46"/>
      <c r="K151" s="46"/>
      <c r="M151"/>
    </row>
    <row r="152" spans="1:20" x14ac:dyDescent="0.25">
      <c r="A152" s="44"/>
      <c r="B152" s="53"/>
      <c r="C152" s="53"/>
      <c r="D152" s="53"/>
      <c r="E152" s="53"/>
      <c r="F152" s="53"/>
      <c r="G152" s="53"/>
      <c r="H152" s="46"/>
      <c r="I152" s="46"/>
      <c r="J152" s="46"/>
      <c r="K152" s="46"/>
      <c r="M152"/>
    </row>
    <row r="153" spans="1:20" x14ac:dyDescent="0.25">
      <c r="I153" s="46"/>
      <c r="J153" s="46"/>
      <c r="K153" s="46"/>
      <c r="M153"/>
    </row>
    <row r="154" spans="1:20" x14ac:dyDescent="0.25">
      <c r="I154" s="46"/>
      <c r="J154" s="46"/>
      <c r="K154" s="46"/>
      <c r="M154"/>
    </row>
    <row r="155" spans="1:20" x14ac:dyDescent="0.25">
      <c r="I155" s="46"/>
      <c r="J155" s="46"/>
      <c r="K155" s="46"/>
      <c r="M155"/>
    </row>
    <row r="156" spans="1:20" x14ac:dyDescent="0.25">
      <c r="I156" s="46"/>
      <c r="J156" s="46"/>
      <c r="K156" s="46"/>
      <c r="M156"/>
    </row>
    <row r="157" spans="1:20" x14ac:dyDescent="0.25">
      <c r="I157" s="46"/>
      <c r="J157" s="46"/>
      <c r="K157" s="46"/>
      <c r="M157"/>
    </row>
    <row r="158" spans="1:20" x14ac:dyDescent="0.25">
      <c r="I158" s="46"/>
      <c r="J158" s="46"/>
      <c r="K158" s="46"/>
      <c r="M158"/>
    </row>
    <row r="159" spans="1:20" x14ac:dyDescent="0.25">
      <c r="I159" s="46"/>
      <c r="J159" s="46"/>
      <c r="K159" s="46"/>
      <c r="M159"/>
    </row>
    <row r="160" spans="1:20" x14ac:dyDescent="0.25">
      <c r="I160" s="46"/>
      <c r="J160" s="46"/>
      <c r="K160" s="46"/>
      <c r="M160"/>
    </row>
    <row r="161" spans="9:13" x14ac:dyDescent="0.25">
      <c r="I161" s="46"/>
      <c r="J161" s="46"/>
      <c r="K161" s="46"/>
      <c r="M161"/>
    </row>
    <row r="162" spans="9:13" x14ac:dyDescent="0.25">
      <c r="I162" s="46"/>
      <c r="J162" s="46"/>
      <c r="K162" s="46"/>
      <c r="M162"/>
    </row>
    <row r="163" spans="9:13" x14ac:dyDescent="0.25">
      <c r="I163" s="46"/>
      <c r="J163" s="46"/>
      <c r="K163" s="46"/>
      <c r="M163"/>
    </row>
    <row r="164" spans="9:13" x14ac:dyDescent="0.25">
      <c r="I164" s="46"/>
      <c r="J164" s="46"/>
      <c r="K164" s="46"/>
      <c r="M164"/>
    </row>
    <row r="165" spans="9:13" x14ac:dyDescent="0.25">
      <c r="I165" s="46"/>
      <c r="J165" s="46"/>
      <c r="K165" s="46"/>
      <c r="M165"/>
    </row>
    <row r="166" spans="9:13" x14ac:dyDescent="0.25">
      <c r="I166" s="46"/>
      <c r="J166" s="46"/>
      <c r="K166" s="46"/>
      <c r="M166"/>
    </row>
    <row r="167" spans="9:13" x14ac:dyDescent="0.25">
      <c r="I167" s="46"/>
      <c r="J167" s="46"/>
      <c r="K167" s="46"/>
      <c r="M167"/>
    </row>
    <row r="168" spans="9:13" x14ac:dyDescent="0.25">
      <c r="M168"/>
    </row>
    <row r="169" spans="9:13" x14ac:dyDescent="0.25">
      <c r="M169"/>
    </row>
    <row r="170" spans="9:13" x14ac:dyDescent="0.25">
      <c r="M170"/>
    </row>
    <row r="171" spans="9:13" x14ac:dyDescent="0.25">
      <c r="M171"/>
    </row>
    <row r="172" spans="9:13" x14ac:dyDescent="0.25">
      <c r="M172"/>
    </row>
    <row r="173" spans="9:13" x14ac:dyDescent="0.25">
      <c r="M173"/>
    </row>
    <row r="174" spans="9:13" x14ac:dyDescent="0.25">
      <c r="M174"/>
    </row>
    <row r="175" spans="9:13" x14ac:dyDescent="0.25">
      <c r="M175"/>
    </row>
    <row r="176" spans="9:13" x14ac:dyDescent="0.25">
      <c r="M176"/>
    </row>
    <row r="177" spans="13:13" x14ac:dyDescent="0.25">
      <c r="M177"/>
    </row>
    <row r="178" spans="13:13" x14ac:dyDescent="0.25">
      <c r="M178"/>
    </row>
    <row r="179" spans="13:13" x14ac:dyDescent="0.25">
      <c r="M179"/>
    </row>
    <row r="180" spans="13:13" x14ac:dyDescent="0.25">
      <c r="M180"/>
    </row>
    <row r="181" spans="13:13" x14ac:dyDescent="0.25">
      <c r="M181"/>
    </row>
    <row r="182" spans="13:13" x14ac:dyDescent="0.25">
      <c r="M182"/>
    </row>
    <row r="183" spans="13:13" x14ac:dyDescent="0.25">
      <c r="M183"/>
    </row>
    <row r="184" spans="13:13" x14ac:dyDescent="0.25">
      <c r="M184"/>
    </row>
    <row r="185" spans="13:13" x14ac:dyDescent="0.25">
      <c r="M185"/>
    </row>
    <row r="186" spans="13:13" x14ac:dyDescent="0.25">
      <c r="M186"/>
    </row>
    <row r="187" spans="13:13" x14ac:dyDescent="0.25">
      <c r="M187"/>
    </row>
    <row r="188" spans="13:13" x14ac:dyDescent="0.25">
      <c r="M188"/>
    </row>
    <row r="189" spans="13:13" x14ac:dyDescent="0.25">
      <c r="M189"/>
    </row>
    <row r="190" spans="13:13" x14ac:dyDescent="0.25">
      <c r="M190"/>
    </row>
    <row r="191" spans="13:13" x14ac:dyDescent="0.25">
      <c r="M191"/>
    </row>
    <row r="192" spans="13:13" x14ac:dyDescent="0.25">
      <c r="M192"/>
    </row>
    <row r="193" spans="13:13" x14ac:dyDescent="0.25">
      <c r="M193"/>
    </row>
    <row r="194" spans="13:13" x14ac:dyDescent="0.25">
      <c r="M194"/>
    </row>
    <row r="195" spans="13:13" x14ac:dyDescent="0.25">
      <c r="M195"/>
    </row>
    <row r="196" spans="13:13" x14ac:dyDescent="0.25">
      <c r="M196"/>
    </row>
    <row r="197" spans="13:13" x14ac:dyDescent="0.25">
      <c r="M197"/>
    </row>
    <row r="198" spans="13:13" x14ac:dyDescent="0.25">
      <c r="M198"/>
    </row>
    <row r="199" spans="13:13" x14ac:dyDescent="0.25">
      <c r="M199"/>
    </row>
    <row r="200" spans="13:13" x14ac:dyDescent="0.25">
      <c r="M200"/>
    </row>
    <row r="201" spans="13:13" x14ac:dyDescent="0.25">
      <c r="M201"/>
    </row>
    <row r="202" spans="13:13" x14ac:dyDescent="0.25">
      <c r="M202"/>
    </row>
    <row r="203" spans="13:13" x14ac:dyDescent="0.25">
      <c r="M203"/>
    </row>
    <row r="204" spans="13:13" x14ac:dyDescent="0.25">
      <c r="M204"/>
    </row>
    <row r="205" spans="13:13" x14ac:dyDescent="0.25">
      <c r="M205"/>
    </row>
    <row r="206" spans="13:13" x14ac:dyDescent="0.25">
      <c r="M206"/>
    </row>
    <row r="207" spans="13:13" x14ac:dyDescent="0.25">
      <c r="M207"/>
    </row>
    <row r="208" spans="13:13" x14ac:dyDescent="0.25">
      <c r="M208"/>
    </row>
    <row r="209" spans="13:13" x14ac:dyDescent="0.25">
      <c r="M209"/>
    </row>
    <row r="210" spans="13:13" x14ac:dyDescent="0.25">
      <c r="M210"/>
    </row>
    <row r="211" spans="13:13" x14ac:dyDescent="0.25">
      <c r="M211"/>
    </row>
    <row r="212" spans="13:13" x14ac:dyDescent="0.25">
      <c r="M212"/>
    </row>
    <row r="213" spans="13:13" x14ac:dyDescent="0.25">
      <c r="M213"/>
    </row>
    <row r="214" spans="13:13" x14ac:dyDescent="0.25">
      <c r="M214"/>
    </row>
    <row r="215" spans="13:13" x14ac:dyDescent="0.25">
      <c r="M215"/>
    </row>
    <row r="216" spans="13:13" x14ac:dyDescent="0.25">
      <c r="M216"/>
    </row>
    <row r="217" spans="13:13" x14ac:dyDescent="0.25">
      <c r="M217"/>
    </row>
    <row r="218" spans="13:13" x14ac:dyDescent="0.25">
      <c r="M218"/>
    </row>
    <row r="219" spans="13:13" x14ac:dyDescent="0.25">
      <c r="M219"/>
    </row>
    <row r="220" spans="13:13" x14ac:dyDescent="0.25">
      <c r="M220"/>
    </row>
    <row r="221" spans="13:13" x14ac:dyDescent="0.25">
      <c r="M221"/>
    </row>
    <row r="222" spans="13:13" x14ac:dyDescent="0.25">
      <c r="M222"/>
    </row>
    <row r="223" spans="13:13" x14ac:dyDescent="0.25">
      <c r="M223"/>
    </row>
    <row r="224" spans="13:13" x14ac:dyDescent="0.25">
      <c r="M224"/>
    </row>
    <row r="225" spans="13:13" x14ac:dyDescent="0.25">
      <c r="M225"/>
    </row>
    <row r="226" spans="13:13" x14ac:dyDescent="0.25">
      <c r="M226"/>
    </row>
    <row r="227" spans="13:13" x14ac:dyDescent="0.25">
      <c r="M227"/>
    </row>
    <row r="228" spans="13:13" x14ac:dyDescent="0.25">
      <c r="M228"/>
    </row>
    <row r="229" spans="13:13" x14ac:dyDescent="0.25">
      <c r="M229"/>
    </row>
    <row r="230" spans="13:13" x14ac:dyDescent="0.25">
      <c r="M230"/>
    </row>
    <row r="231" spans="13:13" x14ac:dyDescent="0.25">
      <c r="M231"/>
    </row>
    <row r="232" spans="13:13" x14ac:dyDescent="0.25">
      <c r="M232"/>
    </row>
    <row r="233" spans="13:13" x14ac:dyDescent="0.25">
      <c r="M233"/>
    </row>
    <row r="234" spans="13:13" x14ac:dyDescent="0.25">
      <c r="M234"/>
    </row>
    <row r="235" spans="13:13" x14ac:dyDescent="0.25">
      <c r="M235"/>
    </row>
    <row r="236" spans="13:13" x14ac:dyDescent="0.25">
      <c r="M236"/>
    </row>
    <row r="237" spans="13:13" x14ac:dyDescent="0.25">
      <c r="M237"/>
    </row>
    <row r="238" spans="13:13" x14ac:dyDescent="0.25">
      <c r="M238"/>
    </row>
    <row r="239" spans="13:13" x14ac:dyDescent="0.25">
      <c r="M239"/>
    </row>
    <row r="240" spans="13:13" x14ac:dyDescent="0.25">
      <c r="M240"/>
    </row>
    <row r="241" spans="13:13" x14ac:dyDescent="0.25">
      <c r="M241"/>
    </row>
    <row r="242" spans="13:13" x14ac:dyDescent="0.25">
      <c r="M242"/>
    </row>
    <row r="243" spans="13:13" x14ac:dyDescent="0.25">
      <c r="M243"/>
    </row>
    <row r="244" spans="13:13" x14ac:dyDescent="0.25">
      <c r="M244"/>
    </row>
    <row r="245" spans="13:13" x14ac:dyDescent="0.25">
      <c r="M245"/>
    </row>
    <row r="246" spans="13:13" x14ac:dyDescent="0.25">
      <c r="M246"/>
    </row>
    <row r="247" spans="13:13" x14ac:dyDescent="0.25">
      <c r="M247"/>
    </row>
    <row r="248" spans="13:13" x14ac:dyDescent="0.25">
      <c r="M248"/>
    </row>
    <row r="249" spans="13:13" x14ac:dyDescent="0.25">
      <c r="M249"/>
    </row>
    <row r="250" spans="13:13" x14ac:dyDescent="0.25">
      <c r="M250"/>
    </row>
    <row r="251" spans="13:13" x14ac:dyDescent="0.25">
      <c r="M251"/>
    </row>
    <row r="252" spans="13:13" x14ac:dyDescent="0.25">
      <c r="M252"/>
    </row>
    <row r="253" spans="13:13" x14ac:dyDescent="0.25">
      <c r="M253"/>
    </row>
    <row r="254" spans="13:13" x14ac:dyDescent="0.25">
      <c r="M254"/>
    </row>
    <row r="255" spans="13:13" x14ac:dyDescent="0.25">
      <c r="M255"/>
    </row>
    <row r="256" spans="13:13" x14ac:dyDescent="0.25">
      <c r="M256"/>
    </row>
    <row r="257" spans="13:13" x14ac:dyDescent="0.25">
      <c r="M257"/>
    </row>
    <row r="258" spans="13:13" x14ac:dyDescent="0.25">
      <c r="M258"/>
    </row>
    <row r="259" spans="13:13" x14ac:dyDescent="0.25">
      <c r="M259"/>
    </row>
    <row r="260" spans="13:13" x14ac:dyDescent="0.25">
      <c r="M260"/>
    </row>
    <row r="261" spans="13:13" x14ac:dyDescent="0.25">
      <c r="M261"/>
    </row>
    <row r="262" spans="13:13" x14ac:dyDescent="0.25">
      <c r="M262"/>
    </row>
    <row r="263" spans="13:13" x14ac:dyDescent="0.25">
      <c r="M263"/>
    </row>
    <row r="264" spans="13:13" x14ac:dyDescent="0.25">
      <c r="M264"/>
    </row>
    <row r="265" spans="13:13" x14ac:dyDescent="0.25">
      <c r="M265"/>
    </row>
    <row r="266" spans="13:13" x14ac:dyDescent="0.25">
      <c r="M266"/>
    </row>
    <row r="267" spans="13:13" x14ac:dyDescent="0.25">
      <c r="M267"/>
    </row>
    <row r="268" spans="13:13" x14ac:dyDescent="0.25">
      <c r="M268"/>
    </row>
    <row r="269" spans="13:13" x14ac:dyDescent="0.25">
      <c r="M269"/>
    </row>
    <row r="270" spans="13:13" x14ac:dyDescent="0.25">
      <c r="M270"/>
    </row>
    <row r="271" spans="13:13" x14ac:dyDescent="0.25">
      <c r="M271"/>
    </row>
    <row r="272" spans="13:13" x14ac:dyDescent="0.25">
      <c r="M272"/>
    </row>
    <row r="273" spans="13:13" x14ac:dyDescent="0.25">
      <c r="M273"/>
    </row>
    <row r="274" spans="13:13" x14ac:dyDescent="0.25">
      <c r="M274"/>
    </row>
    <row r="275" spans="13:13" x14ac:dyDescent="0.25">
      <c r="M275"/>
    </row>
    <row r="276" spans="13:13" x14ac:dyDescent="0.25">
      <c r="M276"/>
    </row>
    <row r="277" spans="13:13" x14ac:dyDescent="0.25">
      <c r="M277"/>
    </row>
    <row r="278" spans="13:13" x14ac:dyDescent="0.25">
      <c r="M278"/>
    </row>
    <row r="279" spans="13:13" x14ac:dyDescent="0.25">
      <c r="M279"/>
    </row>
    <row r="280" spans="13:13" x14ac:dyDescent="0.25">
      <c r="M280"/>
    </row>
    <row r="281" spans="13:13" x14ac:dyDescent="0.25">
      <c r="M281"/>
    </row>
    <row r="282" spans="13:13" x14ac:dyDescent="0.25">
      <c r="M282"/>
    </row>
    <row r="283" spans="13:13" x14ac:dyDescent="0.25">
      <c r="M283"/>
    </row>
    <row r="284" spans="13:13" x14ac:dyDescent="0.25">
      <c r="M284"/>
    </row>
    <row r="285" spans="13:13" x14ac:dyDescent="0.25">
      <c r="M285"/>
    </row>
    <row r="286" spans="13:13" x14ac:dyDescent="0.25">
      <c r="M286"/>
    </row>
    <row r="287" spans="13:13" x14ac:dyDescent="0.25">
      <c r="M287"/>
    </row>
    <row r="288" spans="13:13" x14ac:dyDescent="0.25">
      <c r="M288"/>
    </row>
    <row r="289" spans="13:13" x14ac:dyDescent="0.25">
      <c r="M289"/>
    </row>
    <row r="290" spans="13:13" x14ac:dyDescent="0.25">
      <c r="M290"/>
    </row>
    <row r="291" spans="13:13" x14ac:dyDescent="0.25">
      <c r="M291"/>
    </row>
    <row r="292" spans="13:13" x14ac:dyDescent="0.25">
      <c r="M292"/>
    </row>
    <row r="293" spans="13:13" x14ac:dyDescent="0.25">
      <c r="M293"/>
    </row>
    <row r="294" spans="13:13" x14ac:dyDescent="0.25">
      <c r="M294"/>
    </row>
    <row r="295" spans="13:13" x14ac:dyDescent="0.25">
      <c r="M295"/>
    </row>
    <row r="296" spans="13:13" x14ac:dyDescent="0.25">
      <c r="M296"/>
    </row>
    <row r="297" spans="13:13" x14ac:dyDescent="0.25">
      <c r="M297"/>
    </row>
    <row r="298" spans="13:13" x14ac:dyDescent="0.25">
      <c r="M298"/>
    </row>
    <row r="299" spans="13:13" x14ac:dyDescent="0.25">
      <c r="M299"/>
    </row>
    <row r="300" spans="13:13" x14ac:dyDescent="0.25">
      <c r="M300"/>
    </row>
    <row r="301" spans="13:13" x14ac:dyDescent="0.25">
      <c r="M301"/>
    </row>
    <row r="302" spans="13:13" x14ac:dyDescent="0.25">
      <c r="M302"/>
    </row>
    <row r="303" spans="13:13" x14ac:dyDescent="0.25">
      <c r="M303"/>
    </row>
    <row r="304" spans="13:13" x14ac:dyDescent="0.25">
      <c r="M304"/>
    </row>
    <row r="305" spans="13:13" x14ac:dyDescent="0.25">
      <c r="M305"/>
    </row>
    <row r="306" spans="13:13" x14ac:dyDescent="0.25">
      <c r="M306"/>
    </row>
    <row r="307" spans="13:13" x14ac:dyDescent="0.25">
      <c r="M307"/>
    </row>
    <row r="308" spans="13:13" x14ac:dyDescent="0.25">
      <c r="M308"/>
    </row>
    <row r="309" spans="13:13" x14ac:dyDescent="0.25">
      <c r="M309"/>
    </row>
    <row r="310" spans="13:13" x14ac:dyDescent="0.25">
      <c r="M310"/>
    </row>
    <row r="311" spans="13:13" x14ac:dyDescent="0.25">
      <c r="M311"/>
    </row>
    <row r="312" spans="13:13" x14ac:dyDescent="0.25">
      <c r="M312"/>
    </row>
    <row r="313" spans="13:13" x14ac:dyDescent="0.25">
      <c r="M313"/>
    </row>
    <row r="314" spans="13:13" x14ac:dyDescent="0.25">
      <c r="M314"/>
    </row>
    <row r="315" spans="13:13" x14ac:dyDescent="0.25">
      <c r="M315"/>
    </row>
    <row r="316" spans="13:13" x14ac:dyDescent="0.25">
      <c r="M316"/>
    </row>
    <row r="317" spans="13:13" x14ac:dyDescent="0.25">
      <c r="M317"/>
    </row>
    <row r="318" spans="13:13" x14ac:dyDescent="0.25">
      <c r="M318"/>
    </row>
    <row r="319" spans="13:13" x14ac:dyDescent="0.25">
      <c r="M319"/>
    </row>
    <row r="320" spans="13:13" x14ac:dyDescent="0.25">
      <c r="M320"/>
    </row>
    <row r="321" spans="13:13" x14ac:dyDescent="0.25">
      <c r="M321"/>
    </row>
    <row r="322" spans="13:13" x14ac:dyDescent="0.25">
      <c r="M322"/>
    </row>
    <row r="323" spans="13:13" x14ac:dyDescent="0.25">
      <c r="M323"/>
    </row>
    <row r="324" spans="13:13" x14ac:dyDescent="0.25">
      <c r="M324"/>
    </row>
    <row r="325" spans="13:13" x14ac:dyDescent="0.25">
      <c r="M325"/>
    </row>
    <row r="326" spans="13:13" x14ac:dyDescent="0.25">
      <c r="M326"/>
    </row>
    <row r="327" spans="13:13" x14ac:dyDescent="0.25">
      <c r="M327"/>
    </row>
    <row r="328" spans="13:13" x14ac:dyDescent="0.25">
      <c r="M328"/>
    </row>
    <row r="329" spans="13:13" x14ac:dyDescent="0.25">
      <c r="M329"/>
    </row>
    <row r="330" spans="13:13" x14ac:dyDescent="0.25">
      <c r="M330"/>
    </row>
    <row r="331" spans="13:13" x14ac:dyDescent="0.25">
      <c r="M331"/>
    </row>
    <row r="332" spans="13:13" x14ac:dyDescent="0.25">
      <c r="M332"/>
    </row>
    <row r="333" spans="13:13" x14ac:dyDescent="0.25">
      <c r="M333"/>
    </row>
    <row r="334" spans="13:13" x14ac:dyDescent="0.25">
      <c r="M334"/>
    </row>
    <row r="335" spans="13:13" x14ac:dyDescent="0.25">
      <c r="M335"/>
    </row>
    <row r="336" spans="13:13" x14ac:dyDescent="0.25">
      <c r="M336"/>
    </row>
    <row r="337" spans="13:13" x14ac:dyDescent="0.25">
      <c r="M337"/>
    </row>
    <row r="338" spans="13:13" x14ac:dyDescent="0.25">
      <c r="M338"/>
    </row>
    <row r="339" spans="13:13" x14ac:dyDescent="0.25">
      <c r="M339"/>
    </row>
    <row r="340" spans="13:13" x14ac:dyDescent="0.25">
      <c r="M340"/>
    </row>
    <row r="341" spans="13:13" x14ac:dyDescent="0.25">
      <c r="M341"/>
    </row>
    <row r="342" spans="13:13" x14ac:dyDescent="0.25">
      <c r="M342"/>
    </row>
    <row r="343" spans="13:13" x14ac:dyDescent="0.25">
      <c r="M343"/>
    </row>
    <row r="344" spans="13:13" x14ac:dyDescent="0.25">
      <c r="M344"/>
    </row>
    <row r="345" spans="13:13" x14ac:dyDescent="0.25">
      <c r="M345"/>
    </row>
    <row r="346" spans="13:13" x14ac:dyDescent="0.25">
      <c r="M346"/>
    </row>
    <row r="347" spans="13:13" x14ac:dyDescent="0.25">
      <c r="M347"/>
    </row>
    <row r="348" spans="13:13" x14ac:dyDescent="0.25">
      <c r="M348"/>
    </row>
    <row r="349" spans="13:13" x14ac:dyDescent="0.25">
      <c r="M349"/>
    </row>
    <row r="350" spans="13:13" x14ac:dyDescent="0.25">
      <c r="M350"/>
    </row>
    <row r="351" spans="13:13" x14ac:dyDescent="0.25">
      <c r="M351"/>
    </row>
    <row r="352" spans="13:13" x14ac:dyDescent="0.25">
      <c r="M352"/>
    </row>
    <row r="353" spans="13:13" x14ac:dyDescent="0.25">
      <c r="M353"/>
    </row>
    <row r="354" spans="13:13" x14ac:dyDescent="0.25">
      <c r="M354"/>
    </row>
    <row r="355" spans="13:13" x14ac:dyDescent="0.25">
      <c r="M355"/>
    </row>
    <row r="356" spans="13:13" x14ac:dyDescent="0.25">
      <c r="M356"/>
    </row>
    <row r="357" spans="13:13" x14ac:dyDescent="0.25">
      <c r="M357"/>
    </row>
    <row r="358" spans="13:13" x14ac:dyDescent="0.25">
      <c r="M358"/>
    </row>
    <row r="359" spans="13:13" x14ac:dyDescent="0.25">
      <c r="M359"/>
    </row>
    <row r="360" spans="13:13" x14ac:dyDescent="0.25">
      <c r="M360"/>
    </row>
    <row r="361" spans="13:13" x14ac:dyDescent="0.25">
      <c r="M361"/>
    </row>
    <row r="362" spans="13:13" x14ac:dyDescent="0.25">
      <c r="M362"/>
    </row>
    <row r="363" spans="13:13" x14ac:dyDescent="0.25">
      <c r="M363"/>
    </row>
    <row r="364" spans="13:13" x14ac:dyDescent="0.25">
      <c r="M364"/>
    </row>
    <row r="365" spans="13:13" x14ac:dyDescent="0.25">
      <c r="M365"/>
    </row>
    <row r="366" spans="13:13" x14ac:dyDescent="0.25">
      <c r="M366"/>
    </row>
    <row r="367" spans="13:13" x14ac:dyDescent="0.25">
      <c r="M367"/>
    </row>
    <row r="368" spans="13:13" x14ac:dyDescent="0.25">
      <c r="M368"/>
    </row>
    <row r="369" spans="13:13" x14ac:dyDescent="0.25">
      <c r="M369"/>
    </row>
    <row r="370" spans="13:13" x14ac:dyDescent="0.25">
      <c r="M370"/>
    </row>
    <row r="371" spans="13:13" x14ac:dyDescent="0.25">
      <c r="M371"/>
    </row>
    <row r="372" spans="13:13" x14ac:dyDescent="0.25">
      <c r="M372"/>
    </row>
    <row r="373" spans="13:13" x14ac:dyDescent="0.25">
      <c r="M373"/>
    </row>
    <row r="374" spans="13:13" x14ac:dyDescent="0.25">
      <c r="M374"/>
    </row>
    <row r="375" spans="13:13" x14ac:dyDescent="0.25">
      <c r="M375"/>
    </row>
    <row r="376" spans="13:13" x14ac:dyDescent="0.25">
      <c r="M376"/>
    </row>
    <row r="377" spans="13:13" x14ac:dyDescent="0.25">
      <c r="M377"/>
    </row>
    <row r="378" spans="13:13" x14ac:dyDescent="0.25">
      <c r="M378"/>
    </row>
    <row r="379" spans="13:13" x14ac:dyDescent="0.25">
      <c r="M379"/>
    </row>
    <row r="380" spans="13:13" x14ac:dyDescent="0.25">
      <c r="M380"/>
    </row>
    <row r="381" spans="13:13" x14ac:dyDescent="0.25">
      <c r="M381"/>
    </row>
    <row r="382" spans="13:13" x14ac:dyDescent="0.25">
      <c r="M382"/>
    </row>
    <row r="383" spans="13:13" x14ac:dyDescent="0.25">
      <c r="M383"/>
    </row>
    <row r="384" spans="13:13" x14ac:dyDescent="0.25">
      <c r="M384"/>
    </row>
    <row r="385" spans="13:13" x14ac:dyDescent="0.25">
      <c r="M385"/>
    </row>
    <row r="386" spans="13:13" x14ac:dyDescent="0.25">
      <c r="M386"/>
    </row>
    <row r="387" spans="13:13" x14ac:dyDescent="0.25">
      <c r="M387"/>
    </row>
    <row r="388" spans="13:13" x14ac:dyDescent="0.25">
      <c r="M388"/>
    </row>
    <row r="389" spans="13:13" x14ac:dyDescent="0.25">
      <c r="M389"/>
    </row>
    <row r="390" spans="13:13" x14ac:dyDescent="0.25">
      <c r="M390"/>
    </row>
    <row r="391" spans="13:13" x14ac:dyDescent="0.25">
      <c r="M391"/>
    </row>
    <row r="392" spans="13:13" x14ac:dyDescent="0.25">
      <c r="M392"/>
    </row>
    <row r="393" spans="13:13" x14ac:dyDescent="0.25">
      <c r="M393"/>
    </row>
    <row r="394" spans="13:13" x14ac:dyDescent="0.25">
      <c r="M394"/>
    </row>
    <row r="395" spans="13:13" x14ac:dyDescent="0.25">
      <c r="M395"/>
    </row>
    <row r="396" spans="13:13" x14ac:dyDescent="0.25">
      <c r="M396"/>
    </row>
    <row r="397" spans="13:13" x14ac:dyDescent="0.25">
      <c r="M397"/>
    </row>
    <row r="398" spans="13:13" x14ac:dyDescent="0.25">
      <c r="M398"/>
    </row>
    <row r="399" spans="13:13" x14ac:dyDescent="0.25">
      <c r="M399"/>
    </row>
    <row r="400" spans="13:13" x14ac:dyDescent="0.25">
      <c r="M400"/>
    </row>
    <row r="401" spans="13:13" x14ac:dyDescent="0.25">
      <c r="M401"/>
    </row>
    <row r="402" spans="13:13" x14ac:dyDescent="0.25">
      <c r="M402"/>
    </row>
    <row r="403" spans="13:13" x14ac:dyDescent="0.25">
      <c r="M403"/>
    </row>
    <row r="404" spans="13:13" x14ac:dyDescent="0.25">
      <c r="M404"/>
    </row>
    <row r="405" spans="13:13" x14ac:dyDescent="0.25">
      <c r="M405"/>
    </row>
    <row r="406" spans="13:13" x14ac:dyDescent="0.25">
      <c r="M406"/>
    </row>
    <row r="407" spans="13:13" x14ac:dyDescent="0.25">
      <c r="M407"/>
    </row>
    <row r="408" spans="13:13" x14ac:dyDescent="0.25">
      <c r="M408"/>
    </row>
    <row r="409" spans="13:13" x14ac:dyDescent="0.25">
      <c r="M409"/>
    </row>
    <row r="410" spans="13:13" x14ac:dyDescent="0.25">
      <c r="M410"/>
    </row>
    <row r="411" spans="13:13" x14ac:dyDescent="0.25">
      <c r="M411"/>
    </row>
    <row r="412" spans="13:13" x14ac:dyDescent="0.25">
      <c r="M412"/>
    </row>
    <row r="413" spans="13:13" x14ac:dyDescent="0.25">
      <c r="M413"/>
    </row>
    <row r="414" spans="13:13" x14ac:dyDescent="0.25">
      <c r="M414"/>
    </row>
    <row r="415" spans="13:13" x14ac:dyDescent="0.25">
      <c r="M415"/>
    </row>
    <row r="416" spans="13:13" x14ac:dyDescent="0.25">
      <c r="M416"/>
    </row>
    <row r="417" spans="13:13" x14ac:dyDescent="0.25">
      <c r="M417"/>
    </row>
    <row r="418" spans="13:13" x14ac:dyDescent="0.25">
      <c r="M418"/>
    </row>
    <row r="419" spans="13:13" x14ac:dyDescent="0.25">
      <c r="M419"/>
    </row>
    <row r="420" spans="13:13" x14ac:dyDescent="0.25">
      <c r="M420"/>
    </row>
    <row r="421" spans="13:13" x14ac:dyDescent="0.25">
      <c r="M421"/>
    </row>
    <row r="422" spans="13:13" x14ac:dyDescent="0.25">
      <c r="M422"/>
    </row>
    <row r="423" spans="13:13" x14ac:dyDescent="0.25">
      <c r="M423"/>
    </row>
    <row r="424" spans="13:13" x14ac:dyDescent="0.25">
      <c r="M424"/>
    </row>
    <row r="425" spans="13:13" x14ac:dyDescent="0.25">
      <c r="M425"/>
    </row>
    <row r="426" spans="13:13" x14ac:dyDescent="0.25">
      <c r="M426"/>
    </row>
    <row r="427" spans="13:13" x14ac:dyDescent="0.25">
      <c r="M427"/>
    </row>
    <row r="428" spans="13:13" x14ac:dyDescent="0.25">
      <c r="M428"/>
    </row>
    <row r="429" spans="13:13" x14ac:dyDescent="0.25">
      <c r="M429"/>
    </row>
    <row r="430" spans="13:13" x14ac:dyDescent="0.25">
      <c r="M430"/>
    </row>
    <row r="431" spans="13:13" x14ac:dyDescent="0.25">
      <c r="M431"/>
    </row>
    <row r="432" spans="13:13" x14ac:dyDescent="0.25">
      <c r="M432"/>
    </row>
    <row r="433" spans="13:13" x14ac:dyDescent="0.25">
      <c r="M433"/>
    </row>
    <row r="434" spans="13:13" x14ac:dyDescent="0.25">
      <c r="M434"/>
    </row>
    <row r="435" spans="13:13" x14ac:dyDescent="0.25">
      <c r="M435"/>
    </row>
    <row r="436" spans="13:13" x14ac:dyDescent="0.25">
      <c r="M436"/>
    </row>
    <row r="437" spans="13:13" x14ac:dyDescent="0.25">
      <c r="M437"/>
    </row>
    <row r="438" spans="13:13" x14ac:dyDescent="0.25">
      <c r="M438"/>
    </row>
    <row r="439" spans="13:13" x14ac:dyDescent="0.25">
      <c r="M439"/>
    </row>
    <row r="440" spans="13:13" x14ac:dyDescent="0.25">
      <c r="M440"/>
    </row>
    <row r="441" spans="13:13" x14ac:dyDescent="0.25">
      <c r="M441"/>
    </row>
    <row r="442" spans="13:13" x14ac:dyDescent="0.25">
      <c r="M442"/>
    </row>
    <row r="443" spans="13:13" x14ac:dyDescent="0.25">
      <c r="M443"/>
    </row>
    <row r="444" spans="13:13" x14ac:dyDescent="0.25">
      <c r="M444"/>
    </row>
    <row r="445" spans="13:13" x14ac:dyDescent="0.25">
      <c r="M445"/>
    </row>
    <row r="446" spans="13:13" x14ac:dyDescent="0.25">
      <c r="M446"/>
    </row>
    <row r="447" spans="13:13" x14ac:dyDescent="0.25">
      <c r="M447"/>
    </row>
    <row r="448" spans="13:13" x14ac:dyDescent="0.25">
      <c r="M448"/>
    </row>
    <row r="449" spans="13:13" x14ac:dyDescent="0.25">
      <c r="M449"/>
    </row>
    <row r="450" spans="13:13" x14ac:dyDescent="0.25">
      <c r="M450"/>
    </row>
    <row r="451" spans="13:13" x14ac:dyDescent="0.25">
      <c r="M451"/>
    </row>
    <row r="452" spans="13:13" x14ac:dyDescent="0.25">
      <c r="M452"/>
    </row>
    <row r="453" spans="13:13" x14ac:dyDescent="0.25">
      <c r="M453"/>
    </row>
    <row r="454" spans="13:13" x14ac:dyDescent="0.25">
      <c r="M454"/>
    </row>
    <row r="455" spans="13:13" x14ac:dyDescent="0.25">
      <c r="M455"/>
    </row>
    <row r="456" spans="13:13" x14ac:dyDescent="0.25">
      <c r="M456"/>
    </row>
    <row r="457" spans="13:13" x14ac:dyDescent="0.25">
      <c r="M457"/>
    </row>
    <row r="458" spans="13:13" x14ac:dyDescent="0.25">
      <c r="M458"/>
    </row>
    <row r="459" spans="13:13" x14ac:dyDescent="0.25">
      <c r="M459"/>
    </row>
    <row r="460" spans="13:13" x14ac:dyDescent="0.25">
      <c r="M460"/>
    </row>
    <row r="461" spans="13:13" x14ac:dyDescent="0.25">
      <c r="M461"/>
    </row>
    <row r="462" spans="13:13" x14ac:dyDescent="0.25">
      <c r="M462"/>
    </row>
    <row r="463" spans="13:13" x14ac:dyDescent="0.25">
      <c r="M463"/>
    </row>
    <row r="464" spans="13:13" x14ac:dyDescent="0.25">
      <c r="M464"/>
    </row>
    <row r="465" spans="13:13" x14ac:dyDescent="0.25">
      <c r="M465"/>
    </row>
    <row r="466" spans="13:13" x14ac:dyDescent="0.25">
      <c r="M466"/>
    </row>
    <row r="467" spans="13:13" x14ac:dyDescent="0.25">
      <c r="M467"/>
    </row>
    <row r="468" spans="13:13" x14ac:dyDescent="0.25">
      <c r="M468"/>
    </row>
    <row r="469" spans="13:13" x14ac:dyDescent="0.25">
      <c r="M469"/>
    </row>
    <row r="470" spans="13:13" x14ac:dyDescent="0.25">
      <c r="M470"/>
    </row>
    <row r="471" spans="13:13" x14ac:dyDescent="0.25">
      <c r="M471"/>
    </row>
    <row r="472" spans="13:13" x14ac:dyDescent="0.25">
      <c r="M472"/>
    </row>
    <row r="473" spans="13:13" x14ac:dyDescent="0.25">
      <c r="M473"/>
    </row>
    <row r="474" spans="13:13" x14ac:dyDescent="0.25">
      <c r="M474"/>
    </row>
  </sheetData>
  <pageMargins left="0.7" right="0.7" top="0.75" bottom="0.75" header="0.3" footer="0.3"/>
  <pageSetup paperSize="9" orientation="portrait" r:id="rId1"/>
  <ignoredErrors>
    <ignoredError sqref="G23:J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F24414740EFB4C820770621D7159A3" ma:contentTypeVersion="2" ma:contentTypeDescription="Create a new document." ma:contentTypeScope="" ma:versionID="511b5347395e0c43b348394748798e54">
  <xsd:schema xmlns:xsd="http://www.w3.org/2001/XMLSchema" xmlns:xs="http://www.w3.org/2001/XMLSchema" xmlns:p="http://schemas.microsoft.com/office/2006/metadata/properties" xmlns:ns2="4315fb67-519e-4616-947a-3076539a5839" targetNamespace="http://schemas.microsoft.com/office/2006/metadata/properties" ma:root="true" ma:fieldsID="e8a1b51020b384bd81573df5eccbb05c" ns2:_="">
    <xsd:import namespace="4315fb67-519e-4616-947a-3076539a58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5fb67-519e-4616-947a-3076539a5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8A3CBE-E7CA-43F7-9994-51BE4609B6F8}">
  <ds:schemaRefs>
    <ds:schemaRef ds:uri="http://schemas.microsoft.com/sharepoint/v3/contenttype/forms"/>
  </ds:schemaRefs>
</ds:datastoreItem>
</file>

<file path=customXml/itemProps2.xml><?xml version="1.0" encoding="utf-8"?>
<ds:datastoreItem xmlns:ds="http://schemas.openxmlformats.org/officeDocument/2006/customXml" ds:itemID="{52B5AF2A-CFAE-42AA-8B74-F9241248CB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5fb67-519e-4616-947a-3076539a5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A69B47-8109-419D-9DA7-32C86C4FB97F}">
  <ds:schemaRefs>
    <ds:schemaRef ds:uri="http://schemas.microsoft.com/office/2006/metadata/properties"/>
    <ds:schemaRef ds:uri="4315fb67-519e-4616-947a-3076539a5839"/>
    <ds:schemaRef ds:uri="http://www.w3.org/XML/1998/namespace"/>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Company>SpareBank1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Cathrine Aunvik</dc:creator>
  <cp:lastModifiedBy>Steinar Enge</cp:lastModifiedBy>
  <cp:lastPrinted>2017-08-23T20:15:43Z</cp:lastPrinted>
  <dcterms:created xsi:type="dcterms:W3CDTF">2017-08-15T12:23:16Z</dcterms:created>
  <dcterms:modified xsi:type="dcterms:W3CDTF">2022-05-06T12:40:18Z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0x01010082F24414740EFB4C820770621D7159A3</vt:lpwstr>
  </property>
</Properties>
</file>